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55" windowHeight="8445" tabRatio="913" activeTab="0"/>
  </bookViews>
  <sheets>
    <sheet name="Intro" sheetId="1" r:id="rId1"/>
    <sheet name="Useful sites" sheetId="2" r:id="rId2"/>
    <sheet name="Summary" sheetId="3" r:id="rId3"/>
    <sheet name="CaymanS" sheetId="4" r:id="rId4"/>
    <sheet name="Blank" sheetId="5" r:id="rId5"/>
    <sheet name="Notes" sheetId="6" state="hidden" r:id="rId6"/>
    <sheet name="Trending" sheetId="7" r:id="rId7"/>
  </sheets>
  <definedNames>
    <definedName name="_xlnm.Print_Area" localSheetId="6">'Trending'!$A$86:$X$155</definedName>
  </definedNames>
  <calcPr fullCalcOnLoad="1"/>
</workbook>
</file>

<file path=xl/comments3.xml><?xml version="1.0" encoding="utf-8"?>
<comments xmlns="http://schemas.openxmlformats.org/spreadsheetml/2006/main">
  <authors>
    <author>Brian Langley</author>
    <author>langleyb</author>
  </authors>
  <commentList>
    <comment ref="B16" authorId="0">
      <text>
        <r>
          <rPr>
            <b/>
            <sz val="8"/>
            <rFont val="Tahoma"/>
            <family val="0"/>
          </rPr>
          <t>Brian Langley:</t>
        </r>
        <r>
          <rPr>
            <sz val="8"/>
            <rFont val="Tahoma"/>
            <family val="0"/>
          </rPr>
          <t xml:space="preserve">
This allows you to compare options with capital reduction against options without</t>
        </r>
      </text>
    </comment>
    <comment ref="B31" authorId="1">
      <text>
        <r>
          <rPr>
            <b/>
            <sz val="8"/>
            <rFont val="Tahoma"/>
            <family val="0"/>
          </rPr>
          <t>langleyb:</t>
        </r>
        <r>
          <rPr>
            <sz val="8"/>
            <rFont val="Tahoma"/>
            <family val="0"/>
          </rPr>
          <t xml:space="preserve">
This allows you to compare options with and without refundable security deposits
</t>
        </r>
      </text>
    </comment>
    <comment ref="B32" authorId="1">
      <text>
        <r>
          <rPr>
            <b/>
            <sz val="8"/>
            <rFont val="Tahoma"/>
            <family val="0"/>
          </rPr>
          <t>langleyb:</t>
        </r>
        <r>
          <rPr>
            <sz val="8"/>
            <rFont val="Tahoma"/>
            <family val="0"/>
          </rPr>
          <t xml:space="preserve">
This allows you to compare options with and without refundable security deposits
</t>
        </r>
      </text>
    </comment>
    <comment ref="B17" authorId="0">
      <text>
        <r>
          <rPr>
            <b/>
            <sz val="8"/>
            <rFont val="Tahoma"/>
            <family val="0"/>
          </rPr>
          <t>Brian Langley:</t>
        </r>
        <r>
          <rPr>
            <sz val="8"/>
            <rFont val="Tahoma"/>
            <family val="0"/>
          </rPr>
          <t xml:space="preserve">
NJ Luxury tax is .4% on cars over $45K</t>
        </r>
      </text>
    </comment>
    <comment ref="B19" authorId="1">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r>
          <rPr>
            <b/>
            <sz val="8"/>
            <rFont val="Tahoma"/>
            <family val="0"/>
          </rPr>
          <t xml:space="preserve">
</t>
        </r>
      </text>
    </comment>
  </commentList>
</comments>
</file>

<file path=xl/comments4.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Edmunds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comments5.xml><?xml version="1.0" encoding="utf-8"?>
<comments xmlns="http://schemas.openxmlformats.org/spreadsheetml/2006/main">
  <authors>
    <author>langleyb</author>
  </authors>
  <commentList>
    <comment ref="I30" authorId="0">
      <text>
        <r>
          <rPr>
            <b/>
            <sz val="8"/>
            <rFont val="Tahoma"/>
            <family val="0"/>
          </rPr>
          <t>langleyb:</t>
        </r>
        <r>
          <rPr>
            <sz val="8"/>
            <rFont val="Tahoma"/>
            <family val="0"/>
          </rPr>
          <t xml:space="preserve">
This allows you to compare options with and without refundable security deposits
</t>
        </r>
      </text>
    </comment>
    <comment ref="C12" authorId="0">
      <text>
        <r>
          <rPr>
            <b/>
            <sz val="8"/>
            <rFont val="Tahoma"/>
            <family val="0"/>
          </rPr>
          <t>Brian Langley:
Depreciation - any Capital reduction divided by the number of months</t>
        </r>
        <r>
          <rPr>
            <sz val="8"/>
            <rFont val="Tahoma"/>
            <family val="0"/>
          </rPr>
          <t xml:space="preserve">
</t>
        </r>
      </text>
    </comment>
    <comment ref="L21" authorId="0">
      <text>
        <r>
          <rPr>
            <b/>
            <sz val="8"/>
            <rFont val="Tahoma"/>
            <family val="0"/>
          </rPr>
          <t xml:space="preserve">Brian Langley:
</t>
        </r>
        <r>
          <rPr>
            <sz val="8"/>
            <rFont val="Tahoma"/>
            <family val="2"/>
          </rPr>
          <t>I don't recommend Capital reduction</t>
        </r>
      </text>
    </comment>
    <comment ref="E16" authorId="0">
      <text>
        <r>
          <rPr>
            <b/>
            <sz val="8"/>
            <rFont val="Tahoma"/>
            <family val="0"/>
          </rPr>
          <t>Brian Langley:
Luxury tax 0.4% for cars costing &gt;$45K</t>
        </r>
      </text>
    </comment>
    <comment ref="C28" authorId="0">
      <text>
        <r>
          <rPr>
            <b/>
            <sz val="8"/>
            <rFont val="Tahoma"/>
            <family val="0"/>
          </rPr>
          <t>Brian Langley:
Assumes car will be worth the lease residual value</t>
        </r>
      </text>
    </comment>
    <comment ref="C21" authorId="0">
      <text>
        <r>
          <rPr>
            <b/>
            <sz val="8"/>
            <rFont val="Tahoma"/>
            <family val="0"/>
          </rPr>
          <t xml:space="preserve">Brian Langley:
</t>
        </r>
        <r>
          <rPr>
            <sz val="8"/>
            <rFont val="Tahoma"/>
            <family val="2"/>
          </rPr>
          <t>Assumes car will be worth the lease residual at the end of finance period</t>
        </r>
      </text>
    </comment>
    <comment ref="C18" authorId="0">
      <text>
        <r>
          <rPr>
            <b/>
            <sz val="8"/>
            <rFont val="Tahoma"/>
            <family val="0"/>
          </rPr>
          <t xml:space="preserve">Brian Langley:
</t>
        </r>
        <r>
          <rPr>
            <sz val="8"/>
            <rFont val="Tahoma"/>
            <family val="2"/>
          </rPr>
          <t>1) Assumes that you can afford the monthly finance costs and that any delta between lease and finance would be invested
2) The car would be replaced after the term whether leased or financed
3) The car would be worth the lease residual even when financed
NOTE: Of course there are many other factors pros/cons to lease vs finance and this is only designed to give you an indication of if the numbers favor finance or lease</t>
        </r>
      </text>
    </comment>
    <comment ref="D10" authorId="0">
      <text>
        <r>
          <rPr>
            <b/>
            <sz val="8"/>
            <rFont val="Tahoma"/>
            <family val="0"/>
          </rPr>
          <t xml:space="preserve">Brian Langley:
</t>
        </r>
        <r>
          <rPr>
            <sz val="8"/>
            <rFont val="Tahoma"/>
            <family val="2"/>
          </rPr>
          <t>Better to enter negotiated price as a formula based on Invoice+x (e.g. =D4+500)
This allows you to easily compare effect of adding or removing options</t>
        </r>
        <r>
          <rPr>
            <b/>
            <sz val="8"/>
            <rFont val="Tahoma"/>
            <family val="0"/>
          </rPr>
          <t xml:space="preserve">
</t>
        </r>
        <r>
          <rPr>
            <sz val="8"/>
            <rFont val="Tahoma"/>
            <family val="0"/>
          </rPr>
          <t xml:space="preserve">
</t>
        </r>
      </text>
    </comment>
    <comment ref="D5" authorId="0">
      <text>
        <r>
          <rPr>
            <b/>
            <sz val="8"/>
            <rFont val="Tahoma"/>
            <family val="0"/>
          </rPr>
          <t>Brian Langley:</t>
        </r>
        <r>
          <rPr>
            <sz val="8"/>
            <rFont val="Tahoma"/>
            <family val="0"/>
          </rPr>
          <t xml:space="preserve">
MF from website or Dealer for the car you are looking at</t>
        </r>
      </text>
    </comment>
    <comment ref="D6" authorId="0">
      <text>
        <r>
          <rPr>
            <b/>
            <sz val="8"/>
            <rFont val="Tahoma"/>
            <family val="0"/>
          </rPr>
          <t>Brian Langley:</t>
        </r>
        <r>
          <rPr>
            <sz val="8"/>
            <rFont val="Tahoma"/>
            <family val="0"/>
          </rPr>
          <t xml:space="preserve">
The number of months in the lease</t>
        </r>
      </text>
    </comment>
    <comment ref="D7" authorId="0">
      <text>
        <r>
          <rPr>
            <b/>
            <sz val="8"/>
            <rFont val="Tahoma"/>
            <family val="0"/>
          </rPr>
          <t xml:space="preserve">Brian Langley:
</t>
        </r>
        <r>
          <rPr>
            <sz val="8"/>
            <rFont val="Tahoma"/>
            <family val="2"/>
          </rPr>
          <t>Residual value of the car from websites or from the dealer.</t>
        </r>
        <r>
          <rPr>
            <sz val="8"/>
            <rFont val="Tahoma"/>
            <family val="0"/>
          </rPr>
          <t xml:space="preserve">
</t>
        </r>
      </text>
    </comment>
    <comment ref="D8" authorId="0">
      <text>
        <r>
          <rPr>
            <b/>
            <sz val="8"/>
            <rFont val="Tahoma"/>
            <family val="0"/>
          </rPr>
          <t>Brian Langley:</t>
        </r>
        <r>
          <rPr>
            <sz val="8"/>
            <rFont val="Tahoma"/>
            <family val="0"/>
          </rPr>
          <t xml:space="preserve">
Sales Tax for your State</t>
        </r>
      </text>
    </comment>
    <comment ref="F19" authorId="0">
      <text>
        <r>
          <rPr>
            <b/>
            <sz val="8"/>
            <rFont val="Tahoma"/>
            <family val="0"/>
          </rPr>
          <t>Brian Langley:</t>
        </r>
        <r>
          <rPr>
            <sz val="8"/>
            <rFont val="Tahoma"/>
            <family val="0"/>
          </rPr>
          <t xml:space="preserve">
Insert APR rate for purchasing car if you want to compare Lease to Financed Purchase</t>
        </r>
      </text>
    </comment>
    <comment ref="F22" authorId="0">
      <text>
        <r>
          <rPr>
            <b/>
            <sz val="8"/>
            <rFont val="Tahoma"/>
            <family val="0"/>
          </rPr>
          <t>Brian Langley:</t>
        </r>
        <r>
          <rPr>
            <sz val="8"/>
            <rFont val="Tahoma"/>
            <family val="0"/>
          </rPr>
          <t xml:space="preserve">
Insert the annual percentage rate you are typically achieving on your savings</t>
        </r>
      </text>
    </comment>
    <comment ref="J2" authorId="0">
      <text>
        <r>
          <rPr>
            <b/>
            <sz val="8"/>
            <rFont val="Tahoma"/>
            <family val="0"/>
          </rPr>
          <t>Brian Langley:</t>
        </r>
        <r>
          <rPr>
            <sz val="8"/>
            <rFont val="Tahoma"/>
            <family val="0"/>
          </rPr>
          <t xml:space="preserve">
Comment about this quote/option</t>
        </r>
      </text>
    </comment>
    <comment ref="H6" authorId="0">
      <text>
        <r>
          <rPr>
            <b/>
            <sz val="8"/>
            <rFont val="Tahoma"/>
            <family val="0"/>
          </rPr>
          <t>Brian Langley:</t>
        </r>
        <r>
          <rPr>
            <sz val="8"/>
            <rFont val="Tahoma"/>
            <family val="0"/>
          </rPr>
          <t xml:space="preserve">
If you have entered Negotiated price as a formula+x you can easily toggle options from Y to N to see the effect on the lease price</t>
        </r>
      </text>
    </comment>
    <comment ref="K4" authorId="0">
      <text>
        <r>
          <rPr>
            <b/>
            <sz val="8"/>
            <rFont val="Tahoma"/>
            <family val="0"/>
          </rPr>
          <t>Brian Langley:</t>
        </r>
        <r>
          <rPr>
            <sz val="8"/>
            <rFont val="Tahoma"/>
            <family val="0"/>
          </rPr>
          <t xml:space="preserve">
You can get MSRP and invoice prices from sites such as Edmonds (see "Useful sites" tab)</t>
        </r>
      </text>
    </comment>
    <comment ref="D23" authorId="0">
      <text>
        <r>
          <rPr>
            <b/>
            <sz val="8"/>
            <rFont val="Tahoma"/>
            <family val="0"/>
          </rPr>
          <t>Brian Langley:</t>
        </r>
        <r>
          <rPr>
            <sz val="8"/>
            <rFont val="Tahoma"/>
            <family val="0"/>
          </rPr>
          <t xml:space="preserve">
If you </t>
        </r>
        <r>
          <rPr>
            <b/>
            <u val="single"/>
            <sz val="8"/>
            <rFont val="Tahoma"/>
            <family val="2"/>
          </rPr>
          <t>lease</t>
        </r>
        <r>
          <rPr>
            <sz val="8"/>
            <rFont val="Tahoma"/>
            <family val="0"/>
          </rPr>
          <t xml:space="preserve"> the car and invest the delta in the payments you investment should be worth this amount</t>
        </r>
      </text>
    </comment>
    <comment ref="D24" authorId="0">
      <text>
        <r>
          <rPr>
            <b/>
            <sz val="8"/>
            <rFont val="Tahoma"/>
            <family val="0"/>
          </rPr>
          <t>Brian Langley:</t>
        </r>
        <r>
          <rPr>
            <sz val="8"/>
            <rFont val="Tahoma"/>
            <family val="0"/>
          </rPr>
          <t xml:space="preserve">
If you </t>
        </r>
        <r>
          <rPr>
            <b/>
            <u val="single"/>
            <sz val="8"/>
            <rFont val="Tahoma"/>
            <family val="2"/>
          </rPr>
          <t>buy</t>
        </r>
        <r>
          <rPr>
            <sz val="8"/>
            <rFont val="Tahoma"/>
            <family val="0"/>
          </rPr>
          <t xml:space="preserve"> the car and assume it will be worth the residual value stated by the leasing company then you will have a car worth this much</t>
        </r>
      </text>
    </comment>
  </commentList>
</comments>
</file>

<file path=xl/sharedStrings.xml><?xml version="1.0" encoding="utf-8"?>
<sst xmlns="http://schemas.openxmlformats.org/spreadsheetml/2006/main" count="297" uniqueCount="157">
  <si>
    <t>MSRP</t>
  </si>
  <si>
    <t>MF</t>
  </si>
  <si>
    <t>Term</t>
  </si>
  <si>
    <t>Depreciation</t>
  </si>
  <si>
    <t>Negotiated price</t>
  </si>
  <si>
    <t>Monthly cost</t>
  </si>
  <si>
    <t>Monthly Lease</t>
  </si>
  <si>
    <t>State tax rate</t>
  </si>
  <si>
    <t>Monthly Finance fees</t>
  </si>
  <si>
    <t>tax</t>
  </si>
  <si>
    <t>Money left in the bank</t>
  </si>
  <si>
    <t>Monthly lease incl tax</t>
  </si>
  <si>
    <t>Neg Price</t>
  </si>
  <si>
    <t>Invoice Price</t>
  </si>
  <si>
    <t>Total</t>
  </si>
  <si>
    <t>docs</t>
  </si>
  <si>
    <t>plates and reg</t>
  </si>
  <si>
    <t>1st month</t>
  </si>
  <si>
    <t>Capital reduction</t>
  </si>
  <si>
    <t>initiation fee</t>
  </si>
  <si>
    <t>bank fees</t>
  </si>
  <si>
    <t>NJ State tax</t>
  </si>
  <si>
    <t>inc tax</t>
  </si>
  <si>
    <t>inc tax (Adj)</t>
  </si>
  <si>
    <t>Insert Tab Name here--&gt;</t>
  </si>
  <si>
    <t>At signing Costs</t>
  </si>
  <si>
    <t>Invoice</t>
  </si>
  <si>
    <t>Term (months)</t>
  </si>
  <si>
    <t>Summary Comparison</t>
  </si>
  <si>
    <t>Key:</t>
  </si>
  <si>
    <t>Over/Under Inv</t>
  </si>
  <si>
    <t>http://forums.roadfly.com/forums/financing/</t>
  </si>
  <si>
    <t>What deals others are getting</t>
  </si>
  <si>
    <t>http://townhall-talk.edmunds.com/</t>
  </si>
  <si>
    <t>http://www.autobytel.com</t>
  </si>
  <si>
    <t>http://www.carsdirect.com</t>
  </si>
  <si>
    <t>Car prices MSRP and Invoice</t>
  </si>
  <si>
    <t>http://www.edmunds.com</t>
  </si>
  <si>
    <t xml:space="preserve">Good place to get lease rates </t>
  </si>
  <si>
    <t>Buy-out</t>
  </si>
  <si>
    <t>Refundable Deposit</t>
  </si>
  <si>
    <t>Total (Adj)</t>
  </si>
  <si>
    <t>Deposit</t>
  </si>
  <si>
    <t>total</t>
  </si>
  <si>
    <t>Remaining</t>
  </si>
  <si>
    <t>Y</t>
  </si>
  <si>
    <t>Inc</t>
  </si>
  <si>
    <t>Destination charge</t>
  </si>
  <si>
    <t xml:space="preserve">Base price </t>
  </si>
  <si>
    <t>Due at Signing</t>
  </si>
  <si>
    <t>N</t>
  </si>
  <si>
    <t>Options Total</t>
  </si>
  <si>
    <t>Y/N</t>
  </si>
  <si>
    <t>Only enter data in yellow boxes</t>
  </si>
  <si>
    <t>As a % =</t>
  </si>
  <si>
    <t>Comments:</t>
  </si>
  <si>
    <t>Notes</t>
  </si>
  <si>
    <t>excluding first month</t>
  </si>
  <si>
    <t>Invoice +/-</t>
  </si>
  <si>
    <t>http://www.leasecompare.com/</t>
  </si>
  <si>
    <t xml:space="preserve">342 - Heated Front Seats </t>
  </si>
  <si>
    <t>Discount</t>
  </si>
  <si>
    <t>Profit</t>
  </si>
  <si>
    <t>Release Note:</t>
  </si>
  <si>
    <t>V5 - Added NJ 0.4% tax on vehicles over $45K</t>
  </si>
  <si>
    <t>Cost to Finance</t>
  </si>
  <si>
    <t xml:space="preserve"> at APR of</t>
  </si>
  <si>
    <t>Cost to own car</t>
  </si>
  <si>
    <t>Monthly payments</t>
  </si>
  <si>
    <t>Lease vs Financed Purchase</t>
  </si>
  <si>
    <t>Lease vs Cash Purchase</t>
  </si>
  <si>
    <t>V6 - Added comparisons to finance purchase and cash purchase</t>
  </si>
  <si>
    <t>BlueBook</t>
  </si>
  <si>
    <t>http://www.kbb.com/KBB/UsedCars/PricingReport.aspx?VehicleId=965&amp;SelectionHistory=965%7c11132%7c10583%7c0%7c0%7c39267%7ctrue%7c39275%7ctrue%7c39322%7ctrue&amp;ManufacturerId=21&amp;PriceType=Trade-In&amp;VehicleClass=UsedCar&amp;PriceTypePath=Private+Party&amp;ModelId=141&amp;Mileage=4700&amp;YearId=2004&amp;Condition=Excellent&amp;WebCategoryId=35</t>
  </si>
  <si>
    <t>Amount is not a factor</t>
  </si>
  <si>
    <t>A</t>
  </si>
  <si>
    <t>B</t>
  </si>
  <si>
    <t>C</t>
  </si>
  <si>
    <t>a</t>
  </si>
  <si>
    <t>b</t>
  </si>
  <si>
    <t>c</t>
  </si>
  <si>
    <t>troy 732 205 9000</t>
  </si>
  <si>
    <t xml:space="preserve">P74 - Bi-Xenon Headlamp Package </t>
  </si>
  <si>
    <t xml:space="preserve">573 - Automatic Climate Control </t>
  </si>
  <si>
    <t>810 - Floor Mats in Interior Color</t>
  </si>
  <si>
    <t>P12 - Self-Dim Mirrors &amp; Rain Sensor</t>
  </si>
  <si>
    <t>Residual</t>
  </si>
  <si>
    <t>Discount from MSRP</t>
  </si>
  <si>
    <t>Profit on Invoice</t>
  </si>
  <si>
    <t>V7 - Added profit and discount % on summary page</t>
  </si>
  <si>
    <t>Residual Value</t>
  </si>
  <si>
    <t>Neg residual</t>
  </si>
  <si>
    <t>including NJ Luxury Tax</t>
  </si>
  <si>
    <t>V8 - Added NJ luxury tax to summary page</t>
  </si>
  <si>
    <t>For a given Interest rate</t>
  </si>
  <si>
    <t>y = 0.0007x2 + 0.2051x - 0.198</t>
  </si>
  <si>
    <t>R2 = 1</t>
  </si>
  <si>
    <t>%</t>
  </si>
  <si>
    <t>Months</t>
  </si>
  <si>
    <t>For a given period</t>
  </si>
  <si>
    <t>Interest</t>
  </si>
  <si>
    <t>Total Lease Cost - Cost to Own</t>
  </si>
  <si>
    <t>Rate</t>
  </si>
  <si>
    <t>Total lease costs</t>
  </si>
  <si>
    <t>Diff</t>
  </si>
  <si>
    <t>Costs - Lost Interest</t>
  </si>
  <si>
    <t>/month</t>
  </si>
  <si>
    <t>Effective Cost to own car</t>
  </si>
  <si>
    <t>Save/invest delta from lease of</t>
  </si>
  <si>
    <t>/Month at</t>
  </si>
  <si>
    <t>LEASING: Investment Worth</t>
  </si>
  <si>
    <t>BUYING: Residual value of car</t>
  </si>
  <si>
    <t>Finance cost per Month</t>
  </si>
  <si>
    <t>Lease or Finance</t>
  </si>
  <si>
    <t>V9 - Made changes to lease vs finance purchase section and included results in summary tab</t>
  </si>
  <si>
    <t>Lease vs Finance $</t>
  </si>
  <si>
    <t>Car Details</t>
  </si>
  <si>
    <t>G37 lease information at MyG37.com</t>
  </si>
  <si>
    <t>Porsche Cayman lease information</t>
  </si>
  <si>
    <t>Car</t>
  </si>
  <si>
    <t>without spoiler</t>
  </si>
  <si>
    <t>Depr</t>
  </si>
  <si>
    <t>Cost</t>
  </si>
  <si>
    <t>at Inv</t>
  </si>
  <si>
    <t>at MSRP</t>
  </si>
  <si>
    <t xml:space="preserve"> / Month</t>
  </si>
  <si>
    <t>at Avr Dis</t>
  </si>
  <si>
    <t>Second Quote $830 MF .00300 Res 61%</t>
  </si>
  <si>
    <t>V10 - Added the cost of the options at invoice and MSRP</t>
  </si>
  <si>
    <t>V11 - Changed a couple of formulas to make it compatible with OpenOffice</t>
  </si>
  <si>
    <t>Options</t>
  </si>
  <si>
    <t>Lease Details</t>
  </si>
  <si>
    <t>Car/model specific sites</t>
  </si>
  <si>
    <t>Reasons why leasing can make sense for me:</t>
  </si>
  <si>
    <t>Some things about leasing that people aren't always aware of:</t>
  </si>
  <si>
    <t>Things you need to know before going to the dealer</t>
  </si>
  <si>
    <t>Using the workbook</t>
  </si>
  <si>
    <t>- In most states you pay tax on the lease payments vs tax on the full cost of the car when purchasing</t>
  </si>
  <si>
    <t>- I like to replace my cars every 2-3 years</t>
  </si>
  <si>
    <t>- The cars I like tend to have good residual values</t>
  </si>
  <si>
    <t>- I look after my cars whether I buy or lease</t>
  </si>
  <si>
    <t>- It is not unusual for me to want to add expensive options like navigation systems or sports packages</t>
  </si>
  <si>
    <t>- When leasing you still negotiate the price just as you would if you were buying. The residual value is calculated of the MSRP but the lease fees are calculated on the difference between the price you are effectively paying and the residual, so the lower the negotiated price the lower the monthly lease payments</t>
  </si>
  <si>
    <t>- What others are currently paying for the car you are interested in. This can vary by region but searching some of the sites on the "useful sites" tab will normally give you an indication of what others are paying (normally multiple dealers in you area will mean more competition and more favorable deals). Normally deals the others are getting are represented by how close to invoice value purchasers can get. Often with manufacturer incentives available dealers can still make money selling at invoice or close to it. So it's good to know going in that for example others in your area have achieved say invoice + $500</t>
  </si>
  <si>
    <t>- What the manufactures current lease rates are, these are reflected by a Money Factors (MF) and Residual Value (represented as a %)</t>
  </si>
  <si>
    <t>-With many manufactures the markup on the options are high but it is not uncommon to be able to negotiate invoice for them. This can often mean that adding options doesn't necessarily have to drive the lease costs through the roof. However when purchasing car options it can be like the house market where the option doesn't really add value to the car it just makes it more desirable.</t>
  </si>
  <si>
    <t>LEASING A CAR by Brian Langley</t>
  </si>
  <si>
    <t xml:space="preserve"> </t>
  </si>
  <si>
    <t>Background</t>
  </si>
  <si>
    <t>Leasing doesn't always make sense but for me it can (for reasons explained below) and I had put an excel calculator together to help me whenever I was considering buying or leasing a new car. After finding myself often explaining to others over a beer (or two) why I had leased I thought I would make my calculator a little more user friendly and started sharing with friends.</t>
  </si>
  <si>
    <t>Only enter data in Yellow, most if not all have associated comments/instructions available</t>
  </si>
  <si>
    <t>If you need more tabs for other cars or options just copy an existing tab or the Blank tab</t>
  </si>
  <si>
    <t>Any suggestions please email me: Brian.Langley@Gmail.com</t>
  </si>
  <si>
    <t>V12 - Added introduction and more comments/notes</t>
  </si>
  <si>
    <t>- The MSRP and Invoice cost of the car you are looking at (both easily found on sites such as Edmunds - See "useful sites" page)</t>
  </si>
  <si>
    <t>CaymanS</t>
  </si>
  <si>
    <t>Blank</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</si>
</sst>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
    <numFmt numFmtId="176" formatCode="0.0%"/>
    <numFmt numFmtId="177" formatCode="&quot;$&quot;#,##0.000"/>
    <numFmt numFmtId="178" formatCode="#,##0.0"/>
    <numFmt numFmtId="179" formatCode="0.0000E+00"/>
    <numFmt numFmtId="180" formatCode="0.00000E+00"/>
    <numFmt numFmtId="181" formatCode="0.000000E+00"/>
    <numFmt numFmtId="182" formatCode="0.0000000E+00"/>
    <numFmt numFmtId="183" formatCode="0.0000000"/>
    <numFmt numFmtId="184" formatCode="#,##0.000"/>
  </numFmts>
  <fonts count="1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b/>
      <u val="single"/>
      <sz val="10"/>
      <name val="Arial"/>
      <family val="2"/>
    </font>
    <font>
      <sz val="8"/>
      <name val="Tahoma"/>
      <family val="0"/>
    </font>
    <font>
      <b/>
      <sz val="8"/>
      <name val="Tahoma"/>
      <family val="0"/>
    </font>
    <font>
      <vertAlign val="superscript"/>
      <sz val="12"/>
      <name val="Arial"/>
      <family val="0"/>
    </font>
    <font>
      <sz val="12"/>
      <name val="Arial"/>
      <family val="0"/>
    </font>
    <font>
      <sz val="9"/>
      <name val="Arial"/>
      <family val="2"/>
    </font>
    <font>
      <vertAlign val="superscript"/>
      <sz val="9"/>
      <name val="Arial"/>
      <family val="2"/>
    </font>
    <font>
      <vertAlign val="superscript"/>
      <sz val="10"/>
      <name val="Arial"/>
      <family val="2"/>
    </font>
    <font>
      <vertAlign val="superscript"/>
      <sz val="10.25"/>
      <name val="Arial"/>
      <family val="0"/>
    </font>
    <font>
      <sz val="10"/>
      <color indexed="9"/>
      <name val="Arial"/>
      <family val="0"/>
    </font>
    <font>
      <sz val="10.25"/>
      <name val="Arial"/>
      <family val="0"/>
    </font>
    <font>
      <b/>
      <u val="single"/>
      <sz val="8"/>
      <name val="Tahoma"/>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4" xfId="0" applyBorder="1" applyAlignment="1">
      <alignment/>
    </xf>
    <xf numFmtId="0" fontId="0" fillId="0" borderId="5" xfId="0" applyBorder="1" applyAlignment="1">
      <alignment/>
    </xf>
    <xf numFmtId="165" fontId="0" fillId="0" borderId="0" xfId="0" applyNumberFormat="1" applyBorder="1" applyAlignment="1">
      <alignment/>
    </xf>
    <xf numFmtId="0" fontId="0" fillId="0" borderId="6" xfId="0"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164" fontId="0" fillId="0" borderId="4" xfId="0" applyNumberFormat="1" applyBorder="1" applyAlignment="1">
      <alignment/>
    </xf>
    <xf numFmtId="164" fontId="0" fillId="0" borderId="0" xfId="0" applyNumberFormat="1" applyAlignment="1">
      <alignment/>
    </xf>
    <xf numFmtId="164" fontId="2" fillId="0" borderId="0" xfId="0" applyNumberFormat="1" applyFont="1" applyAlignment="1">
      <alignment/>
    </xf>
    <xf numFmtId="0" fontId="0" fillId="0" borderId="0" xfId="0" applyAlignment="1" quotePrefix="1">
      <alignment horizontal="left"/>
    </xf>
    <xf numFmtId="0" fontId="0" fillId="2" borderId="0" xfId="0" applyFill="1" applyAlignment="1">
      <alignment/>
    </xf>
    <xf numFmtId="0" fontId="0" fillId="3" borderId="0" xfId="0" applyFill="1" applyAlignment="1" quotePrefix="1">
      <alignment horizontal="left"/>
    </xf>
    <xf numFmtId="164" fontId="2" fillId="3" borderId="0" xfId="0" applyNumberFormat="1" applyFont="1" applyFill="1" applyAlignment="1">
      <alignment/>
    </xf>
    <xf numFmtId="165" fontId="0" fillId="0" borderId="0" xfId="0" applyNumberFormat="1" applyAlignment="1">
      <alignment/>
    </xf>
    <xf numFmtId="4" fontId="0" fillId="0" borderId="0" xfId="0" applyNumberFormat="1" applyAlignment="1">
      <alignment/>
    </xf>
    <xf numFmtId="0" fontId="5" fillId="0" borderId="0" xfId="0" applyFont="1" applyAlignment="1">
      <alignment horizontal="right"/>
    </xf>
    <xf numFmtId="0" fontId="0" fillId="0" borderId="0" xfId="0" applyFill="1" applyAlignment="1">
      <alignment/>
    </xf>
    <xf numFmtId="0" fontId="6" fillId="0" borderId="0" xfId="0" applyFont="1" applyAlignment="1" quotePrefix="1">
      <alignment horizontal="left"/>
    </xf>
    <xf numFmtId="3" fontId="0" fillId="0" borderId="0" xfId="0" applyNumberFormat="1" applyAlignment="1">
      <alignment/>
    </xf>
    <xf numFmtId="0" fontId="2" fillId="0" borderId="0" xfId="0" applyFont="1" applyAlignment="1">
      <alignment horizontal="right"/>
    </xf>
    <xf numFmtId="0" fontId="0" fillId="0" borderId="3" xfId="0" applyBorder="1" applyAlignment="1">
      <alignment horizontal="left"/>
    </xf>
    <xf numFmtId="164" fontId="0" fillId="0" borderId="0" xfId="0" applyNumberFormat="1" applyFill="1" applyBorder="1" applyAlignment="1">
      <alignment/>
    </xf>
    <xf numFmtId="0" fontId="0" fillId="3" borderId="0" xfId="0" applyFill="1" applyAlignment="1">
      <alignment/>
    </xf>
    <xf numFmtId="0" fontId="3" fillId="0" borderId="0" xfId="20" applyAlignment="1">
      <alignment/>
    </xf>
    <xf numFmtId="0" fontId="3" fillId="0" borderId="0" xfId="20" applyAlignment="1" quotePrefix="1">
      <alignment horizontal="left"/>
    </xf>
    <xf numFmtId="9" fontId="0" fillId="0" borderId="3" xfId="21" applyBorder="1" applyAlignment="1">
      <alignment horizontal="center"/>
    </xf>
    <xf numFmtId="9" fontId="0" fillId="0" borderId="0" xfId="21" applyAlignment="1">
      <alignment/>
    </xf>
    <xf numFmtId="0" fontId="0" fillId="4" borderId="0" xfId="0" applyFill="1" applyAlignment="1">
      <alignment/>
    </xf>
    <xf numFmtId="164" fontId="2" fillId="4" borderId="0" xfId="0" applyNumberFormat="1" applyFont="1" applyFill="1" applyAlignment="1">
      <alignment/>
    </xf>
    <xf numFmtId="0" fontId="2" fillId="0" borderId="0" xfId="0" applyFont="1" applyAlignment="1" quotePrefix="1">
      <alignment horizontal="left"/>
    </xf>
    <xf numFmtId="0" fontId="2" fillId="3" borderId="7" xfId="0" applyFont="1" applyFill="1" applyBorder="1" applyAlignment="1" quotePrefix="1">
      <alignment horizontal="right"/>
    </xf>
    <xf numFmtId="164" fontId="2" fillId="3" borderId="4" xfId="0" applyNumberFormat="1" applyFont="1" applyFill="1" applyBorder="1" applyAlignment="1">
      <alignment/>
    </xf>
    <xf numFmtId="0" fontId="0" fillId="3" borderId="4" xfId="0" applyFill="1" applyBorder="1" applyAlignment="1">
      <alignment/>
    </xf>
    <xf numFmtId="164" fontId="0" fillId="0" borderId="1" xfId="0" applyNumberFormat="1" applyFill="1" applyBorder="1" applyAlignment="1">
      <alignment/>
    </xf>
    <xf numFmtId="1" fontId="0" fillId="0" borderId="0" xfId="0" applyNumberFormat="1" applyFill="1" applyAlignment="1">
      <alignment/>
    </xf>
    <xf numFmtId="0" fontId="0" fillId="0" borderId="0" xfId="0" applyAlignment="1">
      <alignment vertical="top"/>
    </xf>
    <xf numFmtId="0" fontId="0" fillId="0" borderId="0" xfId="0" applyBorder="1" applyAlignment="1">
      <alignment horizontal="right"/>
    </xf>
    <xf numFmtId="0" fontId="0" fillId="0" borderId="0" xfId="0" applyBorder="1" applyAlignment="1" quotePrefix="1">
      <alignment horizontal="right"/>
    </xf>
    <xf numFmtId="164" fontId="0" fillId="0" borderId="3" xfId="0" applyNumberFormat="1" applyBorder="1" applyAlignment="1">
      <alignment horizontal="center"/>
    </xf>
    <xf numFmtId="0" fontId="0" fillId="0" borderId="0" xfId="0" applyAlignment="1">
      <alignment horizontal="right"/>
    </xf>
    <xf numFmtId="164" fontId="0" fillId="0" borderId="8" xfId="0" applyNumberFormat="1" applyBorder="1" applyAlignment="1">
      <alignment/>
    </xf>
    <xf numFmtId="0" fontId="0" fillId="0" borderId="0" xfId="0" applyFill="1" applyBorder="1" applyAlignment="1">
      <alignment/>
    </xf>
    <xf numFmtId="0" fontId="0" fillId="0" borderId="0" xfId="0" applyFill="1" applyBorder="1" applyAlignment="1">
      <alignment horizontal="right"/>
    </xf>
    <xf numFmtId="0" fontId="2" fillId="3" borderId="4" xfId="0" applyFont="1" applyFill="1" applyBorder="1" applyAlignment="1">
      <alignment horizontal="center"/>
    </xf>
    <xf numFmtId="164" fontId="2" fillId="3" borderId="5" xfId="0" applyNumberFormat="1" applyFont="1" applyFill="1" applyBorder="1" applyAlignment="1">
      <alignment horizontal="left"/>
    </xf>
    <xf numFmtId="176" fontId="0" fillId="0" borderId="3" xfId="21" applyNumberFormat="1" applyBorder="1" applyAlignment="1">
      <alignment horizontal="center"/>
    </xf>
    <xf numFmtId="0" fontId="0" fillId="0" borderId="0" xfId="0" applyBorder="1" applyAlignment="1" quotePrefix="1">
      <alignment horizontal="left"/>
    </xf>
    <xf numFmtId="0" fontId="0" fillId="0" borderId="2" xfId="0" applyFill="1" applyBorder="1" applyAlignment="1">
      <alignment horizontal="right"/>
    </xf>
    <xf numFmtId="0" fontId="0" fillId="0" borderId="2" xfId="0" applyFill="1" applyBorder="1" applyAlignment="1" quotePrefix="1">
      <alignment horizontal="right"/>
    </xf>
    <xf numFmtId="164" fontId="0" fillId="0" borderId="1" xfId="0" applyNumberFormat="1" applyBorder="1" applyAlignment="1">
      <alignment/>
    </xf>
    <xf numFmtId="0" fontId="0" fillId="4" borderId="0" xfId="0" applyFill="1" applyBorder="1" applyAlignment="1">
      <alignment/>
    </xf>
    <xf numFmtId="164" fontId="2" fillId="4" borderId="0" xfId="0" applyNumberFormat="1" applyFont="1" applyFill="1" applyBorder="1" applyAlignment="1">
      <alignment/>
    </xf>
    <xf numFmtId="164" fontId="0" fillId="0" borderId="3" xfId="0" applyNumberFormat="1" applyFill="1" applyBorder="1" applyAlignment="1">
      <alignment/>
    </xf>
    <xf numFmtId="164" fontId="2" fillId="4" borderId="3" xfId="0" applyNumberFormat="1" applyFont="1" applyFill="1" applyBorder="1" applyAlignment="1">
      <alignment/>
    </xf>
    <xf numFmtId="164" fontId="2" fillId="3" borderId="5" xfId="0" applyNumberFormat="1" applyFont="1" applyFill="1" applyBorder="1" applyAlignment="1">
      <alignment/>
    </xf>
    <xf numFmtId="0" fontId="0" fillId="4" borderId="2" xfId="0" applyFill="1" applyBorder="1" applyAlignment="1">
      <alignment/>
    </xf>
    <xf numFmtId="0" fontId="0" fillId="3" borderId="7" xfId="0" applyFill="1" applyBorder="1" applyAlignment="1">
      <alignment/>
    </xf>
    <xf numFmtId="0" fontId="2" fillId="0" borderId="0" xfId="0" applyFont="1" applyFill="1" applyAlignment="1" quotePrefix="1">
      <alignment horizontal="right"/>
    </xf>
    <xf numFmtId="0" fontId="2" fillId="0" borderId="0" xfId="0" applyFont="1" applyBorder="1" applyAlignment="1">
      <alignment horizontal="right"/>
    </xf>
    <xf numFmtId="0" fontId="2" fillId="0" borderId="2" xfId="0" applyFont="1" applyBorder="1" applyAlignment="1">
      <alignment/>
    </xf>
    <xf numFmtId="3" fontId="0" fillId="0" borderId="3" xfId="0" applyNumberFormat="1" applyBorder="1" applyAlignment="1">
      <alignment/>
    </xf>
    <xf numFmtId="3" fontId="2" fillId="0" borderId="5" xfId="0" applyNumberFormat="1" applyFont="1" applyBorder="1" applyAlignment="1">
      <alignment/>
    </xf>
    <xf numFmtId="3" fontId="2" fillId="0" borderId="9" xfId="0" applyNumberFormat="1" applyFont="1" applyBorder="1" applyAlignment="1">
      <alignment/>
    </xf>
    <xf numFmtId="0" fontId="0" fillId="0" borderId="10" xfId="0" applyBorder="1" applyAlignment="1">
      <alignment/>
    </xf>
    <xf numFmtId="3" fontId="0" fillId="0" borderId="11" xfId="0" applyNumberForma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0" fontId="3" fillId="0" borderId="1" xfId="20" applyFont="1" applyBorder="1" applyAlignment="1" quotePrefix="1">
      <alignment horizontal="left"/>
    </xf>
    <xf numFmtId="0" fontId="3" fillId="0" borderId="0" xfId="20" applyNumberFormat="1" applyAlignment="1">
      <alignment horizontal="left"/>
    </xf>
    <xf numFmtId="9" fontId="0" fillId="0" borderId="0" xfId="0" applyNumberFormat="1" applyAlignment="1">
      <alignment/>
    </xf>
    <xf numFmtId="173" fontId="0" fillId="0" borderId="0" xfId="0" applyNumberFormat="1" applyAlignment="1">
      <alignment/>
    </xf>
    <xf numFmtId="171" fontId="0" fillId="0" borderId="0" xfId="0" applyNumberFormat="1" applyAlignment="1">
      <alignment/>
    </xf>
    <xf numFmtId="11" fontId="0" fillId="0" borderId="0" xfId="0" applyNumberFormat="1" applyAlignment="1">
      <alignment/>
    </xf>
    <xf numFmtId="183" fontId="0" fillId="0" borderId="0" xfId="0" applyNumberFormat="1" applyAlignment="1">
      <alignment/>
    </xf>
    <xf numFmtId="0" fontId="0" fillId="0" borderId="0" xfId="0" applyAlignment="1">
      <alignment horizontal="left"/>
    </xf>
    <xf numFmtId="176" fontId="0" fillId="0" borderId="0" xfId="21" applyNumberFormat="1" applyAlignment="1">
      <alignment/>
    </xf>
    <xf numFmtId="0" fontId="0" fillId="0" borderId="0" xfId="0" applyAlignment="1" quotePrefix="1">
      <alignment horizontal="center"/>
    </xf>
    <xf numFmtId="0" fontId="15" fillId="0" borderId="0" xfId="0" applyFont="1" applyAlignment="1">
      <alignment/>
    </xf>
    <xf numFmtId="0" fontId="0" fillId="0" borderId="0" xfId="0" applyAlignment="1" quotePrefix="1">
      <alignment horizontal="right"/>
    </xf>
    <xf numFmtId="0" fontId="0" fillId="0" borderId="6" xfId="0" applyBorder="1" applyAlignment="1">
      <alignment/>
    </xf>
    <xf numFmtId="0" fontId="0" fillId="0" borderId="7" xfId="0" applyBorder="1" applyAlignment="1" quotePrefix="1">
      <alignment horizontal="right"/>
    </xf>
    <xf numFmtId="0" fontId="0" fillId="0" borderId="1"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15" fillId="0" borderId="0" xfId="0" applyFont="1" applyFill="1" applyAlignment="1">
      <alignment/>
    </xf>
    <xf numFmtId="0" fontId="15" fillId="0" borderId="0" xfId="0" applyFont="1" applyFill="1" applyAlignment="1">
      <alignment horizontal="right"/>
    </xf>
    <xf numFmtId="173" fontId="15" fillId="0" borderId="0" xfId="0" applyNumberFormat="1" applyFont="1" applyFill="1" applyAlignment="1">
      <alignment/>
    </xf>
    <xf numFmtId="0" fontId="15" fillId="0" borderId="0" xfId="0" applyFont="1" applyFill="1" applyAlignment="1" quotePrefix="1">
      <alignment horizontal="right"/>
    </xf>
    <xf numFmtId="0" fontId="0" fillId="0" borderId="3" xfId="0" applyBorder="1" applyAlignment="1" quotePrefix="1">
      <alignment horizontal="left"/>
    </xf>
    <xf numFmtId="164" fontId="2" fillId="0" borderId="0" xfId="0" applyNumberFormat="1" applyFont="1" applyFill="1" applyAlignment="1">
      <alignment/>
    </xf>
    <xf numFmtId="164" fontId="0" fillId="0" borderId="0" xfId="0" applyNumberFormat="1" applyBorder="1" applyAlignment="1" quotePrefix="1">
      <alignment horizontal="left"/>
    </xf>
    <xf numFmtId="164" fontId="0" fillId="0" borderId="4" xfId="0" applyNumberFormat="1" applyBorder="1" applyAlignment="1">
      <alignment horizontal="center"/>
    </xf>
    <xf numFmtId="0" fontId="0" fillId="4" borderId="0" xfId="0" applyFill="1" applyAlignment="1" quotePrefix="1">
      <alignment horizontal="left"/>
    </xf>
    <xf numFmtId="164" fontId="2" fillId="4" borderId="0" xfId="0" applyNumberFormat="1" applyFont="1" applyFill="1" applyAlignment="1">
      <alignment horizontal="right"/>
    </xf>
    <xf numFmtId="164" fontId="2" fillId="3" borderId="0" xfId="0" applyNumberFormat="1" applyFont="1" applyFill="1" applyBorder="1" applyAlignment="1">
      <alignment/>
    </xf>
    <xf numFmtId="0" fontId="2" fillId="3" borderId="0" xfId="0" applyFont="1" applyFill="1" applyBorder="1" applyAlignment="1">
      <alignment/>
    </xf>
    <xf numFmtId="0" fontId="2" fillId="3" borderId="3" xfId="0" applyFont="1" applyFill="1" applyBorder="1" applyAlignment="1">
      <alignment/>
    </xf>
    <xf numFmtId="0" fontId="2" fillId="3" borderId="2" xfId="0" applyFont="1" applyFill="1" applyBorder="1" applyAlignment="1">
      <alignment horizontal="right"/>
    </xf>
    <xf numFmtId="0" fontId="2" fillId="5" borderId="12" xfId="0" applyFont="1" applyFill="1" applyBorder="1" applyAlignment="1">
      <alignment horizontal="right"/>
    </xf>
    <xf numFmtId="0" fontId="2" fillId="5" borderId="9" xfId="0" applyFont="1" applyFill="1" applyBorder="1" applyAlignment="1">
      <alignment horizontal="right"/>
    </xf>
    <xf numFmtId="0" fontId="3" fillId="0" borderId="0" xfId="20" applyFont="1" applyAlignment="1">
      <alignment/>
    </xf>
    <xf numFmtId="4" fontId="0" fillId="0" borderId="11" xfId="0" applyNumberFormat="1" applyBorder="1" applyAlignment="1">
      <alignment/>
    </xf>
    <xf numFmtId="4" fontId="0" fillId="0" borderId="13" xfId="0" applyNumberFormat="1" applyBorder="1" applyAlignment="1">
      <alignment/>
    </xf>
    <xf numFmtId="0" fontId="2" fillId="5" borderId="14" xfId="0" applyFont="1" applyFill="1" applyBorder="1" applyAlignment="1">
      <alignment horizontal="right"/>
    </xf>
    <xf numFmtId="0" fontId="2" fillId="5" borderId="13" xfId="0" applyFont="1" applyFill="1" applyBorder="1" applyAlignment="1">
      <alignment horizontal="right"/>
    </xf>
    <xf numFmtId="0" fontId="2" fillId="5" borderId="13" xfId="0" applyFont="1" applyFill="1" applyBorder="1" applyAlignment="1" quotePrefix="1">
      <alignment horizontal="right"/>
    </xf>
    <xf numFmtId="0" fontId="0" fillId="0" borderId="11" xfId="0" applyBorder="1" applyAlignment="1">
      <alignment/>
    </xf>
    <xf numFmtId="4" fontId="2" fillId="0" borderId="12" xfId="0" applyNumberFormat="1" applyFont="1" applyBorder="1" applyAlignment="1">
      <alignment/>
    </xf>
    <xf numFmtId="4" fontId="2" fillId="0" borderId="13" xfId="0" applyNumberFormat="1" applyFont="1" applyBorder="1" applyAlignment="1">
      <alignment/>
    </xf>
    <xf numFmtId="0" fontId="2" fillId="0" borderId="15" xfId="0" applyFont="1" applyBorder="1" applyAlignment="1" quotePrefix="1">
      <alignment horizontal="right"/>
    </xf>
    <xf numFmtId="0" fontId="2" fillId="0" borderId="0" xfId="0" applyFont="1" applyBorder="1" applyAlignment="1" quotePrefix="1">
      <alignment horizontal="left"/>
    </xf>
    <xf numFmtId="0" fontId="1" fillId="0" borderId="0" xfId="0" applyNumberFormat="1" applyFont="1" applyAlignment="1">
      <alignment horizontal="right" vertical="top" wrapText="1"/>
    </xf>
    <xf numFmtId="0" fontId="2" fillId="0" borderId="0" xfId="0" applyFont="1" applyAlignment="1">
      <alignment/>
    </xf>
    <xf numFmtId="0" fontId="0" fillId="0" borderId="0" xfId="0" applyAlignment="1" applyProtection="1" quotePrefix="1">
      <alignment horizontal="left" vertical="top" wrapText="1" indent="1"/>
      <protection locked="0"/>
    </xf>
    <xf numFmtId="0" fontId="0" fillId="0" borderId="0" xfId="0" applyAlignment="1" quotePrefix="1">
      <alignment horizontal="left" indent="1"/>
    </xf>
    <xf numFmtId="0" fontId="0" fillId="0" borderId="0" xfId="0" applyAlignment="1" applyProtection="1">
      <alignment horizontal="left" vertical="top" wrapText="1" indent="1"/>
      <protection locked="0"/>
    </xf>
    <xf numFmtId="0" fontId="2" fillId="0" borderId="0" xfId="0" applyFont="1" applyAlignment="1" quotePrefix="1">
      <alignment horizontal="center"/>
    </xf>
    <xf numFmtId="0" fontId="0" fillId="2" borderId="0" xfId="0" applyFill="1" applyAlignment="1" applyProtection="1">
      <alignment horizontal="right"/>
      <protection locked="0"/>
    </xf>
    <xf numFmtId="0" fontId="0" fillId="2" borderId="0" xfId="0" applyFill="1" applyAlignment="1" applyProtection="1" quotePrefix="1">
      <alignment horizontal="right"/>
      <protection locked="0"/>
    </xf>
    <xf numFmtId="0" fontId="0" fillId="2" borderId="0" xfId="0" applyFill="1" applyBorder="1" applyAlignment="1" applyProtection="1">
      <alignment/>
      <protection locked="0"/>
    </xf>
    <xf numFmtId="9" fontId="0" fillId="2" borderId="0" xfId="21" applyFont="1" applyFill="1" applyBorder="1" applyAlignment="1" applyProtection="1">
      <alignment/>
      <protection locked="0"/>
    </xf>
    <xf numFmtId="9" fontId="0" fillId="2" borderId="0" xfId="21" applyFill="1" applyBorder="1" applyAlignment="1" applyProtection="1">
      <alignment/>
      <protection locked="0"/>
    </xf>
    <xf numFmtId="164" fontId="0" fillId="2" borderId="0" xfId="0" applyNumberFormat="1" applyFill="1" applyBorder="1" applyAlignment="1" applyProtection="1">
      <alignment/>
      <protection locked="0"/>
    </xf>
    <xf numFmtId="10" fontId="0" fillId="2" borderId="8" xfId="0" applyNumberFormat="1" applyFill="1" applyBorder="1" applyAlignment="1" applyProtection="1">
      <alignment horizontal="left"/>
      <protection locked="0"/>
    </xf>
    <xf numFmtId="10" fontId="0" fillId="2" borderId="3" xfId="0" applyNumberFormat="1" applyFill="1" applyBorder="1" applyAlignment="1" applyProtection="1">
      <alignment horizontal="left"/>
      <protection locked="0"/>
    </xf>
    <xf numFmtId="10" fontId="0" fillId="2" borderId="3" xfId="0" applyNumberFormat="1" applyFill="1" applyBorder="1" applyAlignment="1" applyProtection="1">
      <alignment horizontal="right"/>
      <protection locked="0"/>
    </xf>
    <xf numFmtId="3" fontId="0" fillId="2" borderId="11" xfId="0" applyNumberFormat="1" applyFill="1" applyBorder="1" applyAlignment="1" applyProtection="1">
      <alignment/>
      <protection locked="0"/>
    </xf>
    <xf numFmtId="3" fontId="0" fillId="2" borderId="3" xfId="0" applyNumberFormat="1" applyFill="1" applyBorder="1" applyAlignment="1" applyProtection="1">
      <alignment/>
      <protection locked="0"/>
    </xf>
    <xf numFmtId="0" fontId="0" fillId="2" borderId="2" xfId="0" applyFill="1" applyBorder="1" applyAlignment="1" applyProtection="1">
      <alignment/>
      <protection locked="0"/>
    </xf>
    <xf numFmtId="0" fontId="0" fillId="2" borderId="0" xfId="0" applyFill="1" applyBorder="1" applyAlignment="1" applyProtection="1" quotePrefix="1">
      <alignment horizontal="left"/>
      <protection locked="0"/>
    </xf>
    <xf numFmtId="164" fontId="0" fillId="2" borderId="2" xfId="0" applyNumberFormat="1" applyFill="1" applyBorder="1" applyAlignment="1" applyProtection="1">
      <alignment/>
      <protection locked="0"/>
    </xf>
    <xf numFmtId="0" fontId="0" fillId="2" borderId="7" xfId="0" applyFill="1" applyBorder="1" applyAlignment="1" applyProtection="1">
      <alignment/>
      <protection locked="0"/>
    </xf>
    <xf numFmtId="0" fontId="0" fillId="2" borderId="4" xfId="0" applyFill="1" applyBorder="1" applyAlignment="1" applyProtection="1">
      <alignment/>
      <protection locked="0"/>
    </xf>
    <xf numFmtId="3" fontId="0" fillId="2" borderId="13" xfId="0" applyNumberFormat="1" applyFill="1" applyBorder="1" applyAlignment="1" applyProtection="1">
      <alignment/>
      <protection locked="0"/>
    </xf>
    <xf numFmtId="3" fontId="0" fillId="2" borderId="5" xfId="0" applyNumberFormat="1" applyFill="1" applyBorder="1" applyAlignment="1" applyProtection="1">
      <alignment/>
      <protection locked="0"/>
    </xf>
    <xf numFmtId="164" fontId="0" fillId="2" borderId="3" xfId="0" applyNumberFormat="1" applyFill="1" applyBorder="1" applyAlignment="1" applyProtection="1">
      <alignment/>
      <protection locked="0"/>
    </xf>
    <xf numFmtId="0" fontId="0" fillId="2" borderId="3" xfId="0" applyFill="1" applyBorder="1" applyAlignment="1" applyProtection="1">
      <alignment/>
      <protection locked="0"/>
    </xf>
    <xf numFmtId="0" fontId="6" fillId="0" borderId="0" xfId="0" applyFont="1" applyAlignment="1">
      <alignment horizontal="center"/>
    </xf>
    <xf numFmtId="0" fontId="2" fillId="0" borderId="10" xfId="0" applyFont="1" applyBorder="1" applyAlignment="1" quotePrefix="1">
      <alignment horizontal="center"/>
    </xf>
    <xf numFmtId="0" fontId="2" fillId="0" borderId="15" xfId="0" applyFont="1" applyBorder="1" applyAlignment="1" quotePrefix="1">
      <alignment horizontal="center"/>
    </xf>
    <xf numFmtId="0" fontId="2" fillId="0" borderId="9" xfId="0" applyFont="1" applyBorder="1" applyAlignment="1" quotePrefix="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2" fillId="5" borderId="10" xfId="0" applyFont="1" applyFill="1" applyBorder="1" applyAlignment="1" quotePrefix="1">
      <alignment horizontal="center"/>
    </xf>
    <xf numFmtId="0" fontId="2" fillId="5" borderId="15" xfId="0" applyFont="1" applyFill="1" applyBorder="1" applyAlignment="1">
      <alignment horizontal="center"/>
    </xf>
    <xf numFmtId="0" fontId="2" fillId="5" borderId="9" xfId="0" applyFont="1" applyFill="1" applyBorder="1" applyAlignment="1">
      <alignment horizontal="center"/>
    </xf>
    <xf numFmtId="0" fontId="2" fillId="5" borderId="15" xfId="0" applyFont="1" applyFill="1" applyBorder="1" applyAlignment="1" quotePrefix="1">
      <alignment horizontal="center"/>
    </xf>
    <xf numFmtId="0" fontId="2" fillId="5" borderId="9" xfId="0" applyFont="1" applyFill="1" applyBorder="1" applyAlignment="1" quotePrefix="1">
      <alignment horizontal="center"/>
    </xf>
    <xf numFmtId="0" fontId="2" fillId="5" borderId="10" xfId="0" applyFont="1" applyFill="1" applyBorder="1" applyAlignment="1">
      <alignment horizontal="center"/>
    </xf>
    <xf numFmtId="0" fontId="0" fillId="2" borderId="15" xfId="0" applyFill="1" applyBorder="1" applyAlignment="1" applyProtection="1" quotePrefix="1">
      <alignment/>
      <protection locked="0"/>
    </xf>
    <xf numFmtId="0" fontId="0" fillId="2" borderId="9" xfId="0" applyFill="1" applyBorder="1" applyAlignment="1" applyProtection="1" quotePrefix="1">
      <alignment/>
      <protection locked="0"/>
    </xf>
    <xf numFmtId="0" fontId="0" fillId="2" borderId="15"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Trending!$K$118</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1E-06x</a:t>
                    </a:r>
                    <a:r>
                      <a:rPr lang="en-US" cap="none" sz="900" b="0" i="0" u="none" baseline="30000">
                        <a:latin typeface="Arial"/>
                        <a:ea typeface="Arial"/>
                        <a:cs typeface="Arial"/>
                      </a:rPr>
                      <a:t>3</a:t>
                    </a:r>
                    <a:r>
                      <a:rPr lang="en-US" cap="none" sz="900" b="0" i="0" u="none" baseline="0">
                        <a:latin typeface="Arial"/>
                        <a:ea typeface="Arial"/>
                        <a:cs typeface="Arial"/>
                      </a:rPr>
                      <a:t> + 2E-05x</a:t>
                    </a:r>
                    <a:r>
                      <a:rPr lang="en-US" cap="none" sz="900" b="0" i="0" u="none" baseline="30000">
                        <a:latin typeface="Arial"/>
                        <a:ea typeface="Arial"/>
                        <a:cs typeface="Arial"/>
                      </a:rPr>
                      <a:t>2</a:t>
                    </a:r>
                    <a:r>
                      <a:rPr lang="en-US" cap="none" sz="900" b="0" i="0" u="none" baseline="0">
                        <a:latin typeface="Arial"/>
                        <a:ea typeface="Arial"/>
                        <a:cs typeface="Arial"/>
                      </a:rPr>
                      <a:t> + 3E-05x - 5E-05
R</a:t>
                    </a:r>
                    <a:r>
                      <a:rPr lang="en-US" cap="none" sz="900" b="0" i="0" u="none" baseline="30000">
                        <a:latin typeface="Arial"/>
                        <a:ea typeface="Arial"/>
                        <a:cs typeface="Arial"/>
                      </a:rPr>
                      <a:t>2</a:t>
                    </a:r>
                    <a:r>
                      <a:rPr lang="en-US" cap="none" sz="900" b="0" i="0" u="none" baseline="0">
                        <a:latin typeface="Arial"/>
                        <a:ea typeface="Arial"/>
                        <a:cs typeface="Arial"/>
                      </a:rPr>
                      <a:t> = 0.9999</a:t>
                    </a:r>
                  </a:p>
                </c:rich>
              </c:tx>
              <c:numFmt formatCode="General" sourceLinked="1"/>
            </c:trendlineLbl>
          </c:trendline>
          <c:xVal>
            <c:numRef>
              <c:f>Trending!$J$119:$J$133</c:f>
              <c:numCache/>
            </c:numRef>
          </c:xVal>
          <c:yVal>
            <c:numRef>
              <c:f>Trending!$K$119:$K$133</c:f>
              <c:numCache/>
            </c:numRef>
          </c:yVal>
          <c:smooth val="0"/>
        </c:ser>
        <c:ser>
          <c:idx val="1"/>
          <c:order val="1"/>
          <c:tx>
            <c:strRef>
              <c:f>Trending!$L$118</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-3E-05x</a:t>
                    </a:r>
                    <a:r>
                      <a:rPr lang="en-US" cap="none" sz="900" b="0" i="0" u="none" baseline="30000">
                        <a:latin typeface="Arial"/>
                        <a:ea typeface="Arial"/>
                        <a:cs typeface="Arial"/>
                      </a:rPr>
                      <a:t>3</a:t>
                    </a:r>
                    <a:r>
                      <a:rPr lang="en-US" cap="none" sz="900" b="0" i="0" u="none" baseline="0">
                        <a:latin typeface="Arial"/>
                        <a:ea typeface="Arial"/>
                        <a:cs typeface="Arial"/>
                      </a:rPr>
                      <a:t> + 0.0001x</a:t>
                    </a:r>
                    <a:r>
                      <a:rPr lang="en-US" cap="none" sz="900" b="0" i="0" u="none" baseline="30000">
                        <a:latin typeface="Arial"/>
                        <a:ea typeface="Arial"/>
                        <a:cs typeface="Arial"/>
                      </a:rPr>
                      <a:t>2</a:t>
                    </a:r>
                    <a:r>
                      <a:rPr lang="en-US" cap="none" sz="900" b="0" i="0" u="none" baseline="0">
                        <a:latin typeface="Arial"/>
                        <a:ea typeface="Arial"/>
                        <a:cs typeface="Arial"/>
                      </a:rPr>
                      <a:t> + 0.041x + 0.0007
R</a:t>
                    </a:r>
                    <a:r>
                      <a:rPr lang="en-US" cap="none" sz="900" b="0" i="0" u="none" baseline="30000">
                        <a:latin typeface="Arial"/>
                        <a:ea typeface="Arial"/>
                        <a:cs typeface="Arial"/>
                      </a:rPr>
                      <a:t>2</a:t>
                    </a:r>
                    <a:r>
                      <a:rPr lang="en-US" cap="none" sz="900" b="0" i="0" u="none" baseline="0">
                        <a:latin typeface="Arial"/>
                        <a:ea typeface="Arial"/>
                        <a:cs typeface="Arial"/>
                      </a:rPr>
                      <a:t> = 1</a:t>
                    </a:r>
                  </a:p>
                </c:rich>
              </c:tx>
              <c:numFmt formatCode="General" sourceLinked="1"/>
            </c:trendlineLbl>
          </c:trendline>
          <c:xVal>
            <c:numRef>
              <c:f>Trending!$J$119:$J$133</c:f>
              <c:numCache/>
            </c:numRef>
          </c:xVal>
          <c:yVal>
            <c:numRef>
              <c:f>Trending!$L$119:$L$133</c:f>
              <c:numCache/>
            </c:numRef>
          </c:yVal>
          <c:smooth val="0"/>
        </c:ser>
        <c:ser>
          <c:idx val="2"/>
          <c:order val="2"/>
          <c:tx>
            <c:strRef>
              <c:f>Trending!$M$118</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tx>
                <c:rich>
                  <a:bodyPr vert="horz" rot="0" anchor="ctr"/>
                  <a:lstStyle/>
                  <a:p>
                    <a:pPr algn="ctr">
                      <a:defRPr/>
                    </a:pPr>
                    <a:r>
                      <a:rPr lang="en-US" cap="none" sz="900" b="0" i="0" u="none" baseline="0">
                        <a:latin typeface="Arial"/>
                        <a:ea typeface="Arial"/>
                        <a:cs typeface="Arial"/>
                      </a:rPr>
                      <a:t>y = -0.0001x</a:t>
                    </a:r>
                    <a:r>
                      <a:rPr lang="en-US" cap="none" sz="900" b="0" i="0" u="none" baseline="30000">
                        <a:latin typeface="Arial"/>
                        <a:ea typeface="Arial"/>
                        <a:cs typeface="Arial"/>
                      </a:rPr>
                      <a:t>3</a:t>
                    </a:r>
                    <a:r>
                      <a:rPr lang="en-US" cap="none" sz="900" b="0" i="0" u="none" baseline="0">
                        <a:latin typeface="Arial"/>
                        <a:ea typeface="Arial"/>
                        <a:cs typeface="Arial"/>
                      </a:rPr>
                      <a:t> + 0.0008x</a:t>
                    </a:r>
                    <a:r>
                      <a:rPr lang="en-US" cap="none" sz="900" b="0" i="0" u="none" baseline="30000">
                        <a:latin typeface="Arial"/>
                        <a:ea typeface="Arial"/>
                        <a:cs typeface="Arial"/>
                      </a:rPr>
                      <a:t>2</a:t>
                    </a:r>
                    <a:r>
                      <a:rPr lang="en-US" cap="none" sz="900" b="0" i="0" u="none" baseline="0">
                        <a:latin typeface="Arial"/>
                        <a:ea typeface="Arial"/>
                        <a:cs typeface="Arial"/>
                      </a:rPr>
                      <a:t> + 0.0385x + 0.0033
R</a:t>
                    </a:r>
                    <a:r>
                      <a:rPr lang="en-US" cap="none" sz="900" b="0" i="0" u="none" baseline="30000">
                        <a:latin typeface="Arial"/>
                        <a:ea typeface="Arial"/>
                        <a:cs typeface="Arial"/>
                      </a:rPr>
                      <a:t>2</a:t>
                    </a:r>
                    <a:r>
                      <a:rPr lang="en-US" cap="none" sz="900" b="0" i="0" u="none" baseline="0">
                        <a:latin typeface="Arial"/>
                        <a:ea typeface="Arial"/>
                        <a:cs typeface="Arial"/>
                      </a:rPr>
                      <a:t> = 1</a:t>
                    </a:r>
                  </a:p>
                </c:rich>
              </c:tx>
              <c:numFmt formatCode="General" sourceLinked="1"/>
            </c:trendlineLbl>
          </c:trendline>
          <c:xVal>
            <c:numRef>
              <c:f>Trending!$J$119:$J$133</c:f>
              <c:numCache/>
            </c:numRef>
          </c:xVal>
          <c:yVal>
            <c:numRef>
              <c:f>Trending!$M$119:$M$133</c:f>
              <c:numCache/>
            </c:numRef>
          </c:yVal>
          <c:smooth val="0"/>
        </c:ser>
        <c:axId val="29551006"/>
        <c:axId val="48618759"/>
      </c:scatterChart>
      <c:valAx>
        <c:axId val="29551006"/>
        <c:scaling>
          <c:orientation val="minMax"/>
        </c:scaling>
        <c:axPos val="b"/>
        <c:delete val="0"/>
        <c:numFmt formatCode="General" sourceLinked="1"/>
        <c:majorTickMark val="out"/>
        <c:minorTickMark val="none"/>
        <c:tickLblPos val="nextTo"/>
        <c:crossAx val="48618759"/>
        <c:crosses val="autoZero"/>
        <c:crossBetween val="midCat"/>
        <c:dispUnits/>
      </c:valAx>
      <c:valAx>
        <c:axId val="48618759"/>
        <c:scaling>
          <c:orientation val="minMax"/>
        </c:scaling>
        <c:axPos val="l"/>
        <c:majorGridlines/>
        <c:delete val="0"/>
        <c:numFmt formatCode="General" sourceLinked="1"/>
        <c:majorTickMark val="out"/>
        <c:minorTickMark val="none"/>
        <c:tickLblPos val="nextTo"/>
        <c:crossAx val="2955100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Trending!$H$21</c:f>
              <c:strCache>
                <c:ptCount val="1"/>
                <c:pt idx="0">
                  <c: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Trending!$I$20:$W$20</c:f>
              <c:numCache/>
            </c:numRef>
          </c:xVal>
          <c:yVal>
            <c:numRef>
              <c:f>Trending!$I$21:$W$21</c:f>
              <c:numCache/>
            </c:numRef>
          </c:yVal>
          <c:smooth val="0"/>
        </c:ser>
        <c:ser>
          <c:idx val="1"/>
          <c:order val="1"/>
          <c:tx>
            <c:strRef>
              <c:f>Trending!$H$22</c:f>
              <c:strCache>
                <c:ptCount val="1"/>
                <c:pt idx="0">
                  <c:v>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Trending!$I$20:$W$20</c:f>
              <c:numCache/>
            </c:numRef>
          </c:xVal>
          <c:yVal>
            <c:numRef>
              <c:f>Trending!$I$22:$W$22</c:f>
              <c:numCache/>
            </c:numRef>
          </c:yVal>
          <c:smooth val="0"/>
        </c:ser>
        <c:ser>
          <c:idx val="2"/>
          <c:order val="2"/>
          <c:tx>
            <c:strRef>
              <c:f>Trending!$H$23</c:f>
              <c:strCache>
                <c:ptCount val="1"/>
                <c:pt idx="0">
                  <c:v>24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Trending!$I$20:$W$20</c:f>
              <c:numCache/>
            </c:numRef>
          </c:xVal>
          <c:yVal>
            <c:numRef>
              <c:f>Trending!$I$23:$W$23</c:f>
              <c:numCache/>
            </c:numRef>
          </c:yVal>
          <c:smooth val="0"/>
        </c:ser>
        <c:ser>
          <c:idx val="3"/>
          <c:order val="3"/>
          <c:tx>
            <c:strRef>
              <c:f>Trending!$H$24</c:f>
              <c:strCache>
                <c:ptCount val="1"/>
                <c:pt idx="0">
                  <c:v>36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Trending!$I$20:$W$20</c:f>
              <c:numCache/>
            </c:numRef>
          </c:xVal>
          <c:yVal>
            <c:numRef>
              <c:f>Trending!$I$24:$W$24</c:f>
              <c:numCache/>
            </c:numRef>
          </c:yVal>
          <c:smooth val="0"/>
        </c:ser>
        <c:ser>
          <c:idx val="4"/>
          <c:order val="4"/>
          <c:tx>
            <c:strRef>
              <c:f>Trending!$H$25</c:f>
              <c:strCache>
                <c:ptCount val="1"/>
                <c:pt idx="0">
                  <c:v>39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Trending!$I$20:$W$20</c:f>
              <c:numCache/>
            </c:numRef>
          </c:xVal>
          <c:yVal>
            <c:numRef>
              <c:f>Trending!$I$25:$W$25</c:f>
              <c:numCache/>
            </c:numRef>
          </c:yVal>
          <c:smooth val="0"/>
        </c:ser>
        <c:ser>
          <c:idx val="5"/>
          <c:order val="5"/>
          <c:tx>
            <c:strRef>
              <c:f>Trending!$H$26</c:f>
              <c:strCache>
                <c:ptCount val="1"/>
                <c:pt idx="0">
                  <c:v>42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Trending!$I$20:$W$20</c:f>
              <c:numCache/>
            </c:numRef>
          </c:xVal>
          <c:yVal>
            <c:numRef>
              <c:f>Trending!$I$26:$W$26</c:f>
              <c:numCache/>
            </c:numRef>
          </c:yVal>
          <c:smooth val="0"/>
        </c:ser>
        <c:ser>
          <c:idx val="6"/>
          <c:order val="6"/>
          <c:tx>
            <c:strRef>
              <c:f>Trending!$H$27</c:f>
              <c:strCache>
                <c:ptCount val="1"/>
                <c:pt idx="0">
                  <c:v>54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Trending!$I$20:$W$20</c:f>
              <c:numCache/>
            </c:numRef>
          </c:xVal>
          <c:yVal>
            <c:numRef>
              <c:f>Trending!$I$27:$W$27</c:f>
              <c:numCache/>
            </c:numRef>
          </c:yVal>
          <c:smooth val="0"/>
        </c:ser>
        <c:ser>
          <c:idx val="7"/>
          <c:order val="7"/>
          <c:tx>
            <c:strRef>
              <c:f>Trending!$H$28</c:f>
              <c:strCache>
                <c:ptCount val="1"/>
                <c:pt idx="0">
                  <c:v>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trendline>
            <c:trendlineType val="poly"/>
            <c:order val="2"/>
            <c:dispEq val="1"/>
            <c:dispRSqr val="1"/>
            <c:trendlineLbl>
              <c:layout>
                <c:manualLayout>
                  <c:x val="0"/>
                  <c:y val="0"/>
                </c:manualLayout>
              </c:layout>
              <c:numFmt formatCode="General"/>
            </c:trendlineLbl>
          </c:trendline>
          <c:xVal>
            <c:numRef>
              <c:f>Trending!$I$20:$W$20</c:f>
              <c:numCache/>
            </c:numRef>
          </c:xVal>
          <c:yVal>
            <c:numRef>
              <c:f>Trending!$I$28:$W$28</c:f>
              <c:numCache/>
            </c:numRef>
          </c:yVal>
          <c:smooth val="0"/>
        </c:ser>
        <c:axId val="28064092"/>
        <c:axId val="29288877"/>
      </c:scatterChart>
      <c:valAx>
        <c:axId val="28064092"/>
        <c:scaling>
          <c:orientation val="minMax"/>
        </c:scaling>
        <c:axPos val="b"/>
        <c:delete val="0"/>
        <c:numFmt formatCode="General" sourceLinked="1"/>
        <c:majorTickMark val="out"/>
        <c:minorTickMark val="none"/>
        <c:tickLblPos val="nextTo"/>
        <c:crossAx val="29288877"/>
        <c:crosses val="autoZero"/>
        <c:crossBetween val="midCat"/>
        <c:dispUnits/>
      </c:valAx>
      <c:valAx>
        <c:axId val="29288877"/>
        <c:scaling>
          <c:orientation val="minMax"/>
        </c:scaling>
        <c:axPos val="l"/>
        <c:majorGridlines/>
        <c:delete val="0"/>
        <c:numFmt formatCode="General" sourceLinked="1"/>
        <c:majorTickMark val="out"/>
        <c:minorTickMark val="none"/>
        <c:tickLblPos val="nextTo"/>
        <c:crossAx val="280640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Trending!$K$135</c:f>
              <c:strCache>
                <c:ptCount val="1"/>
                <c:pt idx="0">
                  <c:v>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Trending!$J$136:$J$143</c:f>
              <c:numCache/>
            </c:numRef>
          </c:xVal>
          <c:yVal>
            <c:numRef>
              <c:f>Trending!$K$136:$K$143</c:f>
              <c:numCache/>
            </c:numRef>
          </c:yVal>
          <c:smooth val="0"/>
        </c:ser>
        <c:ser>
          <c:idx val="1"/>
          <c:order val="1"/>
          <c:tx>
            <c:strRef>
              <c:f>Trending!$L$135</c:f>
              <c:strCache>
                <c:ptCount val="1"/>
                <c:pt idx="0">
                  <c:v>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1"/>
            <c:trendlineLbl>
              <c:layout>
                <c:manualLayout>
                  <c:x val="0"/>
                  <c:y val="0"/>
                </c:manualLayout>
              </c:layout>
              <c:tx>
                <c:rich>
                  <a:bodyPr vert="horz" rot="0" anchor="ctr"/>
                  <a:lstStyle/>
                  <a:p>
                    <a:pPr algn="ctr">
                      <a:defRPr/>
                    </a:pPr>
                    <a:r>
                      <a:rPr lang="en-US" cap="none" sz="1000" b="0" i="0" u="none" baseline="0">
                        <a:latin typeface="Arial"/>
                        <a:ea typeface="Arial"/>
                        <a:cs typeface="Arial"/>
                      </a:rPr>
                      <a:t>y = -2E-06x</a:t>
                    </a:r>
                    <a:r>
                      <a:rPr lang="en-US" cap="none" sz="1000" b="0" i="0" u="none" baseline="30000">
                        <a:latin typeface="Arial"/>
                        <a:ea typeface="Arial"/>
                        <a:cs typeface="Arial"/>
                      </a:rPr>
                      <a:t>3</a:t>
                    </a:r>
                    <a:r>
                      <a:rPr lang="en-US" cap="none" sz="1000" b="0" i="0" u="none" baseline="0">
                        <a:latin typeface="Arial"/>
                        <a:ea typeface="Arial"/>
                        <a:cs typeface="Arial"/>
                      </a:rPr>
                      <a:t> + 4E-05x</a:t>
                    </a:r>
                    <a:r>
                      <a:rPr lang="en-US" cap="none" sz="1000" b="0" i="0" u="none" baseline="30000">
                        <a:latin typeface="Arial"/>
                        <a:ea typeface="Arial"/>
                        <a:cs typeface="Arial"/>
                      </a:rPr>
                      <a:t>2</a:t>
                    </a:r>
                    <a:r>
                      <a:rPr lang="en-US" cap="none" sz="1000" b="0" i="0" u="none" baseline="0">
                        <a:latin typeface="Arial"/>
                        <a:ea typeface="Arial"/>
                        <a:cs typeface="Arial"/>
                      </a:rPr>
                      <a:t> + 0.0411x - 0.0404
R</a:t>
                    </a:r>
                    <a:r>
                      <a:rPr lang="en-US" cap="none" sz="1000" b="0" i="0" u="none" baseline="30000">
                        <a:latin typeface="Arial"/>
                        <a:ea typeface="Arial"/>
                        <a:cs typeface="Arial"/>
                      </a:rPr>
                      <a:t>2</a:t>
                    </a:r>
                    <a:r>
                      <a:rPr lang="en-US" cap="none" sz="1000" b="0" i="0" u="none" baseline="0">
                        <a:latin typeface="Arial"/>
                        <a:ea typeface="Arial"/>
                        <a:cs typeface="Arial"/>
                      </a:rPr>
                      <a:t> = 1</a:t>
                    </a:r>
                  </a:p>
                </c:rich>
              </c:tx>
              <c:numFmt formatCode="General" sourceLinked="1"/>
            </c:trendlineLbl>
          </c:trendline>
          <c:xVal>
            <c:numRef>
              <c:f>Trending!$J$136:$J$143</c:f>
              <c:numCache/>
            </c:numRef>
          </c:xVal>
          <c:yVal>
            <c:numRef>
              <c:f>Trending!$L$136:$L$143</c:f>
              <c:numCache/>
            </c:numRef>
          </c:yVal>
          <c:smooth val="0"/>
        </c:ser>
        <c:ser>
          <c:idx val="2"/>
          <c:order val="2"/>
          <c:tx>
            <c:strRef>
              <c:f>Trending!$M$135</c:f>
              <c:strCache>
                <c:ptCount val="1"/>
                <c:pt idx="0">
                  <c:v>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poly"/>
            <c:order val="3"/>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Trending!$J$136:$J$143</c:f>
              <c:numCache/>
            </c:numRef>
          </c:xVal>
          <c:yVal>
            <c:numRef>
              <c:f>Trending!$M$136:$M$143</c:f>
              <c:numCache/>
            </c:numRef>
          </c:yVal>
          <c:smooth val="0"/>
        </c:ser>
        <c:axId val="45211082"/>
        <c:axId val="50873155"/>
      </c:scatterChart>
      <c:valAx>
        <c:axId val="45211082"/>
        <c:scaling>
          <c:orientation val="minMax"/>
        </c:scaling>
        <c:axPos val="b"/>
        <c:delete val="0"/>
        <c:numFmt formatCode="General" sourceLinked="1"/>
        <c:majorTickMark val="out"/>
        <c:minorTickMark val="none"/>
        <c:tickLblPos val="nextTo"/>
        <c:crossAx val="50873155"/>
        <c:crosses val="autoZero"/>
        <c:crossBetween val="midCat"/>
        <c:dispUnits/>
      </c:valAx>
      <c:valAx>
        <c:axId val="50873155"/>
        <c:scaling>
          <c:orientation val="minMax"/>
        </c:scaling>
        <c:axPos val="l"/>
        <c:majorGridlines/>
        <c:delete val="0"/>
        <c:numFmt formatCode="General" sourceLinked="1"/>
        <c:majorTickMark val="out"/>
        <c:minorTickMark val="none"/>
        <c:tickLblPos val="nextTo"/>
        <c:crossAx val="4521108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Trending!$I$20</c:f>
              <c:strCache>
                <c:ptCount val="1"/>
                <c:pt idx="0">
                  <c:v>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Trending!$H$21:$H$28</c:f>
              <c:numCache/>
            </c:numRef>
          </c:xVal>
          <c:yVal>
            <c:numRef>
              <c:f>Trending!$I$21:$I$28</c:f>
              <c:numCache/>
            </c:numRef>
          </c:yVal>
          <c:smooth val="0"/>
        </c:ser>
        <c:ser>
          <c:idx val="1"/>
          <c:order val="1"/>
          <c:tx>
            <c:strRef>
              <c:f>Trending!$J$20</c:f>
              <c:strCache>
                <c:ptCount val="1"/>
                <c:pt idx="0">
                  <c:v>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Trending!$H$21:$H$28</c:f>
              <c:numCache/>
            </c:numRef>
          </c:xVal>
          <c:yVal>
            <c:numRef>
              <c:f>Trending!$J$21:$J$28</c:f>
              <c:numCache/>
            </c:numRef>
          </c:yVal>
          <c:smooth val="0"/>
        </c:ser>
        <c:ser>
          <c:idx val="2"/>
          <c:order val="2"/>
          <c:tx>
            <c:strRef>
              <c:f>Trending!$K$20</c:f>
              <c:strCache>
                <c:ptCount val="1"/>
                <c:pt idx="0">
                  <c:v>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Trending!$H$21:$H$28</c:f>
              <c:numCache/>
            </c:numRef>
          </c:xVal>
          <c:yVal>
            <c:numRef>
              <c:f>Trending!$K$21:$K$28</c:f>
              <c:numCache/>
            </c:numRef>
          </c:yVal>
          <c:smooth val="0"/>
        </c:ser>
        <c:ser>
          <c:idx val="3"/>
          <c:order val="3"/>
          <c:tx>
            <c:strRef>
              <c:f>Trending!$L$20</c:f>
              <c:strCache>
                <c:ptCount val="1"/>
                <c:pt idx="0">
                  <c:v>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Trending!$H$21:$H$28</c:f>
              <c:numCache/>
            </c:numRef>
          </c:xVal>
          <c:yVal>
            <c:numRef>
              <c:f>Trending!$L$21:$L$28</c:f>
              <c:numCache/>
            </c:numRef>
          </c:yVal>
          <c:smooth val="0"/>
        </c:ser>
        <c:ser>
          <c:idx val="4"/>
          <c:order val="4"/>
          <c:tx>
            <c:strRef>
              <c:f>Trending!$M$20</c:f>
              <c:strCache>
                <c:ptCount val="1"/>
                <c:pt idx="0">
                  <c:v>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Trending!$H$21:$H$28</c:f>
              <c:numCache/>
            </c:numRef>
          </c:xVal>
          <c:yVal>
            <c:numRef>
              <c:f>Trending!$M$21:$M$28</c:f>
              <c:numCache/>
            </c:numRef>
          </c:yVal>
          <c:smooth val="0"/>
        </c:ser>
        <c:ser>
          <c:idx val="5"/>
          <c:order val="5"/>
          <c:tx>
            <c:strRef>
              <c:f>Trending!$N$20</c:f>
              <c:strCache>
                <c:ptCount val="1"/>
                <c:pt idx="0">
                  <c:v>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Trending!$H$21:$H$28</c:f>
              <c:numCache/>
            </c:numRef>
          </c:xVal>
          <c:yVal>
            <c:numRef>
              <c:f>Trending!$N$21:$N$28</c:f>
              <c:numCache/>
            </c:numRef>
          </c:yVal>
          <c:smooth val="0"/>
        </c:ser>
        <c:ser>
          <c:idx val="6"/>
          <c:order val="6"/>
          <c:tx>
            <c:strRef>
              <c:f>Trending!$O$20</c:f>
              <c:strCache>
                <c:ptCount val="1"/>
                <c:pt idx="0">
                  <c:v>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Trending!$H$21:$H$28</c:f>
              <c:numCache/>
            </c:numRef>
          </c:xVal>
          <c:yVal>
            <c:numRef>
              <c:f>Trending!$O$21:$O$28</c:f>
              <c:numCache/>
            </c:numRef>
          </c:yVal>
          <c:smooth val="0"/>
        </c:ser>
        <c:ser>
          <c:idx val="7"/>
          <c:order val="7"/>
          <c:tx>
            <c:strRef>
              <c:f>Trending!$P$20</c:f>
              <c:strCache>
                <c:ptCount val="1"/>
                <c:pt idx="0">
                  <c:v>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Trending!$H$21:$H$28</c:f>
              <c:numCache/>
            </c:numRef>
          </c:xVal>
          <c:yVal>
            <c:numRef>
              <c:f>Trending!$P$21:$P$28</c:f>
              <c:numCache/>
            </c:numRef>
          </c:yVal>
          <c:smooth val="0"/>
        </c:ser>
        <c:ser>
          <c:idx val="8"/>
          <c:order val="8"/>
          <c:tx>
            <c:strRef>
              <c:f>Trending!$Q$20</c:f>
              <c:strCache>
                <c:ptCount val="1"/>
                <c:pt idx="0">
                  <c:v>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Trending!$H$21:$H$28</c:f>
              <c:numCache/>
            </c:numRef>
          </c:xVal>
          <c:yVal>
            <c:numRef>
              <c:f>Trending!$Q$21:$Q$28</c:f>
              <c:numCache/>
            </c:numRef>
          </c:yVal>
          <c:smooth val="0"/>
        </c:ser>
        <c:ser>
          <c:idx val="9"/>
          <c:order val="9"/>
          <c:tx>
            <c:strRef>
              <c:f>Trending!$R$20</c:f>
              <c:strCache>
                <c:ptCount val="1"/>
                <c:pt idx="0">
                  <c:v>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Trending!$H$21:$H$28</c:f>
              <c:numCache/>
            </c:numRef>
          </c:xVal>
          <c:yVal>
            <c:numRef>
              <c:f>Trending!$R$21:$R$28</c:f>
              <c:numCache/>
            </c:numRef>
          </c:yVal>
          <c:smooth val="0"/>
        </c:ser>
        <c:ser>
          <c:idx val="10"/>
          <c:order val="10"/>
          <c:tx>
            <c:strRef>
              <c:f>Trending!$S$20</c:f>
              <c:strCache>
                <c:ptCount val="1"/>
                <c:pt idx="0">
                  <c:v>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2"/>
            <c:dispEq val="1"/>
            <c:dispRSqr val="1"/>
            <c:trendlineLbl>
              <c:layout>
                <c:manualLayout>
                  <c:x val="0"/>
                  <c:y val="0"/>
                </c:manualLayout>
              </c:layout>
              <c:numFmt formatCode="General"/>
            </c:trendlineLbl>
          </c:trendline>
          <c:xVal>
            <c:numRef>
              <c:f>Trending!$H$21:$H$28</c:f>
              <c:numCache/>
            </c:numRef>
          </c:xVal>
          <c:yVal>
            <c:numRef>
              <c:f>Trending!$S$21:$S$28</c:f>
              <c:numCache/>
            </c:numRef>
          </c:yVal>
          <c:smooth val="0"/>
        </c:ser>
        <c:ser>
          <c:idx val="11"/>
          <c:order val="11"/>
          <c:tx>
            <c:strRef>
              <c:f>Trending!$T$20</c:f>
              <c:strCache>
                <c:ptCount val="1"/>
                <c:pt idx="0">
                  <c:v>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Trending!$H$21:$H$28</c:f>
              <c:numCache/>
            </c:numRef>
          </c:xVal>
          <c:yVal>
            <c:numRef>
              <c:f>Trending!$T$21:$T$28</c:f>
              <c:numCache/>
            </c:numRef>
          </c:yVal>
          <c:smooth val="0"/>
        </c:ser>
        <c:ser>
          <c:idx val="12"/>
          <c:order val="12"/>
          <c:tx>
            <c:strRef>
              <c:f>Trending!$U$20</c:f>
              <c:strCache>
                <c:ptCount val="1"/>
                <c:pt idx="0">
                  <c:v>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Trending!$H$21:$H$28</c:f>
              <c:numCache/>
            </c:numRef>
          </c:xVal>
          <c:yVal>
            <c:numRef>
              <c:f>Trending!$U$21:$U$28</c:f>
              <c:numCache/>
            </c:numRef>
          </c:yVal>
          <c:smooth val="0"/>
        </c:ser>
        <c:ser>
          <c:idx val="13"/>
          <c:order val="13"/>
          <c:tx>
            <c:strRef>
              <c:f>Trending!$V$20</c:f>
              <c:strCache>
                <c:ptCount val="1"/>
                <c:pt idx="0">
                  <c: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Trending!$H$21:$H$28</c:f>
              <c:numCache/>
            </c:numRef>
          </c:xVal>
          <c:yVal>
            <c:numRef>
              <c:f>Trending!$V$21:$V$28</c:f>
              <c:numCache/>
            </c:numRef>
          </c:yVal>
          <c:smooth val="0"/>
        </c:ser>
        <c:ser>
          <c:idx val="14"/>
          <c:order val="14"/>
          <c:tx>
            <c:strRef>
              <c:f>Trending!$W$20</c:f>
              <c:strCache>
                <c:ptCount val="1"/>
                <c:pt idx="0">
                  <c:v>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Trending!$H$21:$H$28</c:f>
              <c:numCache/>
            </c:numRef>
          </c:xVal>
          <c:yVal>
            <c:numRef>
              <c:f>Trending!$W$21:$W$28</c:f>
              <c:numCache/>
            </c:numRef>
          </c:yVal>
          <c:smooth val="0"/>
        </c:ser>
        <c:axId val="57371240"/>
        <c:axId val="7628617"/>
      </c:scatterChart>
      <c:valAx>
        <c:axId val="57371240"/>
        <c:scaling>
          <c:orientation val="minMax"/>
        </c:scaling>
        <c:axPos val="b"/>
        <c:delete val="0"/>
        <c:numFmt formatCode="General" sourceLinked="1"/>
        <c:majorTickMark val="out"/>
        <c:minorTickMark val="none"/>
        <c:tickLblPos val="nextTo"/>
        <c:crossAx val="7628617"/>
        <c:crosses val="autoZero"/>
        <c:crossBetween val="midCat"/>
        <c:dispUnits/>
      </c:valAx>
      <c:valAx>
        <c:axId val="7628617"/>
        <c:scaling>
          <c:orientation val="minMax"/>
        </c:scaling>
        <c:axPos val="l"/>
        <c:majorGridlines/>
        <c:delete val="0"/>
        <c:numFmt formatCode="General" sourceLinked="1"/>
        <c:majorTickMark val="out"/>
        <c:minorTickMark val="none"/>
        <c:tickLblPos val="nextTo"/>
        <c:crossAx val="573712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116</xdr:row>
      <xdr:rowOff>123825</xdr:rowOff>
    </xdr:from>
    <xdr:to>
      <xdr:col>9</xdr:col>
      <xdr:colOff>428625</xdr:colOff>
      <xdr:row>143</xdr:row>
      <xdr:rowOff>0</xdr:rowOff>
    </xdr:to>
    <xdr:graphicFrame>
      <xdr:nvGraphicFramePr>
        <xdr:cNvPr id="1" name="Chart 21"/>
        <xdr:cNvGraphicFramePr/>
      </xdr:nvGraphicFramePr>
      <xdr:xfrm>
        <a:off x="0" y="18907125"/>
        <a:ext cx="6029325" cy="4248150"/>
      </xdr:xfrm>
      <a:graphic>
        <a:graphicData uri="http://schemas.openxmlformats.org/drawingml/2006/chart">
          <c:chart xmlns:c="http://schemas.openxmlformats.org/drawingml/2006/chart" r:id="rId1"/>
        </a:graphicData>
      </a:graphic>
    </xdr:graphicFrame>
    <xdr:clientData/>
  </xdr:twoCellAnchor>
  <xdr:twoCellAnchor>
    <xdr:from>
      <xdr:col>13</xdr:col>
      <xdr:colOff>219075</xdr:colOff>
      <xdr:row>86</xdr:row>
      <xdr:rowOff>0</xdr:rowOff>
    </xdr:from>
    <xdr:to>
      <xdr:col>23</xdr:col>
      <xdr:colOff>419100</xdr:colOff>
      <xdr:row>115</xdr:row>
      <xdr:rowOff>114300</xdr:rowOff>
    </xdr:to>
    <xdr:graphicFrame>
      <xdr:nvGraphicFramePr>
        <xdr:cNvPr id="2" name="Chart 23"/>
        <xdr:cNvGraphicFramePr/>
      </xdr:nvGraphicFramePr>
      <xdr:xfrm>
        <a:off x="9020175" y="13925550"/>
        <a:ext cx="6515100" cy="4810125"/>
      </xdr:xfrm>
      <a:graphic>
        <a:graphicData uri="http://schemas.openxmlformats.org/drawingml/2006/chart">
          <c:chart xmlns:c="http://schemas.openxmlformats.org/drawingml/2006/chart" r:id="rId2"/>
        </a:graphicData>
      </a:graphic>
    </xdr:graphicFrame>
    <xdr:clientData/>
  </xdr:twoCellAnchor>
  <xdr:twoCellAnchor>
    <xdr:from>
      <xdr:col>13</xdr:col>
      <xdr:colOff>209550</xdr:colOff>
      <xdr:row>117</xdr:row>
      <xdr:rowOff>95250</xdr:rowOff>
    </xdr:from>
    <xdr:to>
      <xdr:col>23</xdr:col>
      <xdr:colOff>390525</xdr:colOff>
      <xdr:row>143</xdr:row>
      <xdr:rowOff>85725</xdr:rowOff>
    </xdr:to>
    <xdr:graphicFrame>
      <xdr:nvGraphicFramePr>
        <xdr:cNvPr id="3" name="Chart 24"/>
        <xdr:cNvGraphicFramePr/>
      </xdr:nvGraphicFramePr>
      <xdr:xfrm>
        <a:off x="9010650" y="19040475"/>
        <a:ext cx="6496050" cy="4200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0</xdr:rowOff>
    </xdr:from>
    <xdr:to>
      <xdr:col>9</xdr:col>
      <xdr:colOff>752475</xdr:colOff>
      <xdr:row>114</xdr:row>
      <xdr:rowOff>133350</xdr:rowOff>
    </xdr:to>
    <xdr:graphicFrame>
      <xdr:nvGraphicFramePr>
        <xdr:cNvPr id="4" name="Chart 25"/>
        <xdr:cNvGraphicFramePr/>
      </xdr:nvGraphicFramePr>
      <xdr:xfrm>
        <a:off x="0" y="13925550"/>
        <a:ext cx="6353175" cy="46672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orums.roadfly.com/forums/financing/" TargetMode="External" /><Relationship Id="rId2" Type="http://schemas.openxmlformats.org/officeDocument/2006/relationships/hyperlink" Target="http://townhall-talk.edmunds.com/" TargetMode="External" /><Relationship Id="rId3" Type="http://schemas.openxmlformats.org/officeDocument/2006/relationships/hyperlink" Target="http://www.autobytel.com/" TargetMode="External" /><Relationship Id="rId4" Type="http://schemas.openxmlformats.org/officeDocument/2006/relationships/hyperlink" Target="http://www.carsdirect.com/" TargetMode="External" /><Relationship Id="rId5" Type="http://schemas.openxmlformats.org/officeDocument/2006/relationships/hyperlink" Target="http://www.edmunds.com/" TargetMode="External" /><Relationship Id="rId6" Type="http://schemas.openxmlformats.org/officeDocument/2006/relationships/hyperlink" Target="http://www.leasecompare.com/" TargetMode="External" /><Relationship Id="rId7" Type="http://schemas.openxmlformats.org/officeDocument/2006/relationships/hyperlink" Target="http://myg37.com/forums/forumdisplay.php?f=147" TargetMode="External" /><Relationship Id="rId8" Type="http://schemas.openxmlformats.org/officeDocument/2006/relationships/hyperlink" Target="http://www.caymanclub.net/cayman-sales-leasing/"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inyurl.com/3385ll" TargetMode="External" /><Relationship Id="rId2" Type="http://schemas.openxmlformats.org/officeDocument/2006/relationships/hyperlink" Target="http://infinitimapleshade.holmanauto.com/new-inventory/vehicle-details.htm?vehicleId=97a86bdb4046381e010a8143dea442ec&amp;useHistory=true"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B24"/>
  <sheetViews>
    <sheetView showGridLines="0" tabSelected="1" workbookViewId="0" topLeftCell="A1">
      <selection activeCell="A1" sqref="A1"/>
    </sheetView>
  </sheetViews>
  <sheetFormatPr defaultColWidth="9.140625" defaultRowHeight="12.75"/>
  <cols>
    <col min="1" max="1" width="5.28125" style="0" customWidth="1"/>
    <col min="2" max="2" width="116.421875" style="0" customWidth="1"/>
  </cols>
  <sheetData>
    <row r="1" ht="12.75">
      <c r="B1" s="122" t="s">
        <v>146</v>
      </c>
    </row>
    <row r="2" ht="12.75">
      <c r="B2" s="122"/>
    </row>
    <row r="3" ht="12.75">
      <c r="B3" s="118" t="s">
        <v>148</v>
      </c>
    </row>
    <row r="4" ht="38.25">
      <c r="B4" s="119" t="s">
        <v>149</v>
      </c>
    </row>
    <row r="5" ht="6" customHeight="1"/>
    <row r="6" ht="12.75">
      <c r="B6" s="118" t="s">
        <v>133</v>
      </c>
    </row>
    <row r="7" ht="12.75">
      <c r="B7" s="120" t="s">
        <v>138</v>
      </c>
    </row>
    <row r="8" ht="12.75">
      <c r="B8" s="120" t="s">
        <v>139</v>
      </c>
    </row>
    <row r="9" ht="12.75">
      <c r="B9" s="120" t="s">
        <v>140</v>
      </c>
    </row>
    <row r="10" ht="12.75">
      <c r="B10" s="120" t="s">
        <v>141</v>
      </c>
    </row>
    <row r="12" ht="12.75">
      <c r="B12" s="35" t="s">
        <v>134</v>
      </c>
    </row>
    <row r="13" ht="12.75">
      <c r="B13" s="119" t="s">
        <v>137</v>
      </c>
    </row>
    <row r="14" ht="38.25">
      <c r="B14" s="119" t="s">
        <v>142</v>
      </c>
    </row>
    <row r="15" ht="38.25">
      <c r="B15" s="121" t="s">
        <v>145</v>
      </c>
    </row>
    <row r="17" ht="12.75">
      <c r="B17" s="118" t="s">
        <v>135</v>
      </c>
    </row>
    <row r="18" ht="12.75">
      <c r="B18" s="119" t="s">
        <v>154</v>
      </c>
    </row>
    <row r="19" ht="63.75">
      <c r="B19" s="119" t="s">
        <v>143</v>
      </c>
    </row>
    <row r="20" ht="25.5">
      <c r="B20" s="119" t="s">
        <v>144</v>
      </c>
    </row>
    <row r="21" ht="12.75">
      <c r="B21" s="118" t="s">
        <v>136</v>
      </c>
    </row>
    <row r="22" ht="12.75">
      <c r="B22" s="119" t="s">
        <v>150</v>
      </c>
    </row>
    <row r="23" ht="12.75">
      <c r="B23" s="119" t="s">
        <v>151</v>
      </c>
    </row>
    <row r="24" ht="12.75">
      <c r="B24" s="119" t="s">
        <v>152</v>
      </c>
    </row>
  </sheetData>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cols>
    <col min="1" max="1" width="6.57421875" style="0" customWidth="1"/>
    <col min="2" max="2" width="26.00390625" style="0" bestFit="1" customWidth="1"/>
    <col min="3" max="3" width="37.00390625" style="0" bestFit="1" customWidth="1"/>
  </cols>
  <sheetData>
    <row r="1" spans="1:3" ht="12.75">
      <c r="A1" s="25" t="s">
        <v>29</v>
      </c>
      <c r="B1" s="16"/>
      <c r="C1" s="35" t="s">
        <v>53</v>
      </c>
    </row>
    <row r="3" spans="2:3" ht="12.75">
      <c r="B3" s="15" t="s">
        <v>38</v>
      </c>
      <c r="C3" s="29" t="s">
        <v>31</v>
      </c>
    </row>
    <row r="4" spans="2:3" ht="12.75">
      <c r="B4" s="15"/>
      <c r="C4" s="29" t="s">
        <v>59</v>
      </c>
    </row>
    <row r="6" spans="2:3" ht="12.75">
      <c r="B6" t="s">
        <v>36</v>
      </c>
      <c r="C6" s="29" t="s">
        <v>37</v>
      </c>
    </row>
    <row r="7" ht="12.75">
      <c r="C7" s="29" t="s">
        <v>35</v>
      </c>
    </row>
    <row r="8" ht="12.75">
      <c r="C8" s="30" t="s">
        <v>34</v>
      </c>
    </row>
    <row r="10" spans="2:3" ht="12.75">
      <c r="B10" t="s">
        <v>32</v>
      </c>
      <c r="C10" s="29" t="s">
        <v>33</v>
      </c>
    </row>
    <row r="12" spans="2:3" ht="12.75">
      <c r="B12" s="80" t="s">
        <v>132</v>
      </c>
      <c r="C12" s="106" t="s">
        <v>117</v>
      </c>
    </row>
    <row r="13" spans="2:3" ht="12.75">
      <c r="B13" s="15"/>
      <c r="C13" s="29" t="s">
        <v>118</v>
      </c>
    </row>
    <row r="16" ht="12.75">
      <c r="B16" t="s">
        <v>63</v>
      </c>
    </row>
    <row r="17" ht="12.75">
      <c r="B17" s="15" t="s">
        <v>64</v>
      </c>
    </row>
    <row r="18" ht="12.75">
      <c r="B18" s="15" t="s">
        <v>71</v>
      </c>
    </row>
    <row r="19" ht="12.75">
      <c r="B19" t="s">
        <v>89</v>
      </c>
    </row>
    <row r="20" ht="12.75">
      <c r="B20" t="s">
        <v>93</v>
      </c>
    </row>
    <row r="21" ht="12.75">
      <c r="B21" s="15" t="s">
        <v>114</v>
      </c>
    </row>
    <row r="22" ht="12.75">
      <c r="B22" s="80" t="s">
        <v>128</v>
      </c>
    </row>
    <row r="23" ht="12.75">
      <c r="B23" t="s">
        <v>129</v>
      </c>
    </row>
    <row r="24" ht="12.75">
      <c r="B24" s="15" t="s">
        <v>153</v>
      </c>
    </row>
  </sheetData>
  <hyperlinks>
    <hyperlink ref="C3" r:id="rId1" display="http://forums.roadfly.com/forums/financing/"/>
    <hyperlink ref="C10" r:id="rId2" tooltip="http://townhall-talk.edmunds.com/" display="http://townhall-talk.edmunds.com/"/>
    <hyperlink ref="C8" r:id="rId3" display="http://www.autobytel.com"/>
    <hyperlink ref="C7" r:id="rId4" display="http://www.carsdirect.com"/>
    <hyperlink ref="C6" r:id="rId5" display="http://www.edmunds.com"/>
    <hyperlink ref="C4" r:id="rId6" display="http://www.leasecompare.com/"/>
    <hyperlink ref="C12" r:id="rId7" display="http://myg37.com/forums/forumdisplay.php?f=147"/>
    <hyperlink ref="C13" r:id="rId8" display="Porsche Cayman lease information"/>
  </hyperlinks>
  <printOptions/>
  <pageMargins left="0.75" right="0.75" top="1" bottom="1" header="0.5" footer="0.5"/>
  <pageSetup horizontalDpi="600" verticalDpi="600" orientation="portrait" r:id="rId9"/>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showGridLines="0" workbookViewId="0" topLeftCell="A1">
      <selection activeCell="A1" sqref="A1:K1"/>
    </sheetView>
  </sheetViews>
  <sheetFormatPr defaultColWidth="9.140625" defaultRowHeight="12.75"/>
  <cols>
    <col min="1" max="1" width="7.57421875" style="0" customWidth="1"/>
    <col min="2" max="2" width="21.00390625" style="0" customWidth="1"/>
    <col min="3" max="9" width="12.7109375" style="0" customWidth="1"/>
  </cols>
  <sheetData>
    <row r="1" spans="1:11" ht="12.75">
      <c r="A1" s="143" t="s">
        <v>28</v>
      </c>
      <c r="B1" s="143"/>
      <c r="C1" s="143"/>
      <c r="D1" s="143"/>
      <c r="E1" s="143"/>
      <c r="F1" s="143"/>
      <c r="G1" s="143"/>
      <c r="H1" s="143"/>
      <c r="I1" s="143"/>
      <c r="J1" s="143"/>
      <c r="K1" s="143"/>
    </row>
    <row r="2" ht="6" customHeight="1">
      <c r="E2" s="22"/>
    </row>
    <row r="3" spans="2:9" ht="12.75">
      <c r="B3" s="21" t="s">
        <v>24</v>
      </c>
      <c r="C3" s="124" t="s">
        <v>155</v>
      </c>
      <c r="D3" s="123" t="s">
        <v>156</v>
      </c>
      <c r="E3" s="123" t="s">
        <v>156</v>
      </c>
      <c r="F3" s="123" t="s">
        <v>156</v>
      </c>
      <c r="G3" s="123" t="s">
        <v>156</v>
      </c>
      <c r="H3" s="123" t="s">
        <v>156</v>
      </c>
      <c r="I3" s="123" t="s">
        <v>156</v>
      </c>
    </row>
    <row r="4" spans="2:9" ht="35.25" customHeight="1">
      <c r="B4" s="41" t="s">
        <v>56</v>
      </c>
      <c r="C4" s="117" t="str">
        <f ca="1" t="shared" si="0" ref="C4:I4">INDIRECT("'"&amp;C$3&amp;"'!J2")</f>
        <v>Second Quote $830 MF .00300 Res 61%</v>
      </c>
      <c r="D4" s="117" t="str">
        <f ca="1" t="shared" si="0"/>
        <v> </v>
      </c>
      <c r="E4" s="117" t="str">
        <f ca="1" t="shared" si="0"/>
        <v> </v>
      </c>
      <c r="F4" s="117" t="str">
        <f ca="1" t="shared" si="0"/>
        <v> </v>
      </c>
      <c r="G4" s="117" t="str">
        <f ca="1" t="shared" si="0"/>
        <v> </v>
      </c>
      <c r="H4" s="117" t="str">
        <f ca="1" t="shared" si="0"/>
        <v> </v>
      </c>
      <c r="I4" s="117" t="str">
        <f ca="1" t="shared" si="0"/>
        <v> </v>
      </c>
    </row>
    <row r="5" spans="2:9" ht="12.75">
      <c r="B5" t="s">
        <v>0</v>
      </c>
      <c r="C5" s="13">
        <f ca="1" t="shared" si="1" ref="C5:I5">INDIRECT("'"&amp;C$3&amp;"'!D3")</f>
        <v>62195</v>
      </c>
      <c r="D5" s="13">
        <f ca="1" t="shared" si="1"/>
        <v>20000</v>
      </c>
      <c r="E5" s="13">
        <f ca="1" t="shared" si="1"/>
        <v>20000</v>
      </c>
      <c r="F5" s="13">
        <f ca="1" t="shared" si="1"/>
        <v>20000</v>
      </c>
      <c r="G5" s="13">
        <f ca="1" t="shared" si="1"/>
        <v>20000</v>
      </c>
      <c r="H5" s="13">
        <f ca="1" t="shared" si="1"/>
        <v>20000</v>
      </c>
      <c r="I5" s="13">
        <f ca="1" t="shared" si="1"/>
        <v>20000</v>
      </c>
    </row>
    <row r="6" spans="2:9" ht="12.75">
      <c r="B6" t="s">
        <v>1</v>
      </c>
      <c r="C6">
        <f ca="1" t="shared" si="2" ref="C6:I6">INDIRECT("'"&amp;C$3&amp;"'!D5")</f>
        <v>0.003</v>
      </c>
      <c r="D6">
        <f ca="1" t="shared" si="2"/>
        <v>0.00236</v>
      </c>
      <c r="E6">
        <f ca="1" t="shared" si="2"/>
        <v>0.00236</v>
      </c>
      <c r="F6">
        <f ca="1" t="shared" si="2"/>
        <v>0.00236</v>
      </c>
      <c r="G6">
        <f ca="1" t="shared" si="2"/>
        <v>0.00236</v>
      </c>
      <c r="H6">
        <f ca="1" t="shared" si="2"/>
        <v>0.00236</v>
      </c>
      <c r="I6">
        <f ca="1" t="shared" si="2"/>
        <v>0.00236</v>
      </c>
    </row>
    <row r="7" spans="2:9" ht="12.75">
      <c r="B7" s="15" t="s">
        <v>86</v>
      </c>
      <c r="C7" s="32">
        <f ca="1" t="shared" si="3" ref="C7:I7">INDIRECT("'"&amp;C$3&amp;"'!D7")</f>
        <v>0.61</v>
      </c>
      <c r="D7" s="32">
        <f ca="1" t="shared" si="3"/>
        <v>0.62</v>
      </c>
      <c r="E7" s="32">
        <f ca="1" t="shared" si="3"/>
        <v>0.62</v>
      </c>
      <c r="F7" s="32">
        <f ca="1" t="shared" si="3"/>
        <v>0.62</v>
      </c>
      <c r="G7" s="32">
        <f ca="1" t="shared" si="3"/>
        <v>0.62</v>
      </c>
      <c r="H7" s="32">
        <f ca="1" t="shared" si="3"/>
        <v>0.62</v>
      </c>
      <c r="I7" s="32">
        <f ca="1" t="shared" si="3"/>
        <v>0.62</v>
      </c>
    </row>
    <row r="8" spans="2:9" ht="12.75">
      <c r="B8" t="s">
        <v>27</v>
      </c>
      <c r="C8" s="24">
        <f ca="1" t="shared" si="4" ref="C8:I8">INDIRECT("'"&amp;C$3&amp;"'!D6")</f>
        <v>36</v>
      </c>
      <c r="D8" s="24">
        <f ca="1" t="shared" si="4"/>
        <v>39</v>
      </c>
      <c r="E8" s="24">
        <f ca="1" t="shared" si="4"/>
        <v>39</v>
      </c>
      <c r="F8" s="24">
        <f ca="1" t="shared" si="4"/>
        <v>39</v>
      </c>
      <c r="G8" s="24">
        <f ca="1" t="shared" si="4"/>
        <v>39</v>
      </c>
      <c r="H8" s="24">
        <f ca="1" t="shared" si="4"/>
        <v>39</v>
      </c>
      <c r="I8" s="24">
        <f ca="1" t="shared" si="4"/>
        <v>39</v>
      </c>
    </row>
    <row r="9" spans="2:9" ht="12.75">
      <c r="B9" t="s">
        <v>12</v>
      </c>
      <c r="C9" s="13">
        <f ca="1" t="shared" si="5" ref="C9:I9">INDIRECT("'"&amp;C$3&amp;"'!D10")</f>
        <v>55503</v>
      </c>
      <c r="D9" s="13">
        <f ca="1" t="shared" si="5"/>
        <v>18500</v>
      </c>
      <c r="E9" s="13">
        <f ca="1" t="shared" si="5"/>
        <v>18500</v>
      </c>
      <c r="F9" s="13">
        <f ca="1" t="shared" si="5"/>
        <v>18500</v>
      </c>
      <c r="G9" s="13">
        <f ca="1" t="shared" si="5"/>
        <v>18500</v>
      </c>
      <c r="H9" s="13">
        <f ca="1" t="shared" si="5"/>
        <v>18500</v>
      </c>
      <c r="I9" s="13">
        <f ca="1" t="shared" si="5"/>
        <v>18500</v>
      </c>
    </row>
    <row r="10" spans="2:9" ht="12.75">
      <c r="B10" t="s">
        <v>13</v>
      </c>
      <c r="C10" s="13">
        <f ca="1" t="shared" si="6" ref="C10:I10">INDIRECT("'"&amp;C$3&amp;"'!D4")</f>
        <v>54153</v>
      </c>
      <c r="D10" s="13">
        <f ca="1" t="shared" si="6"/>
        <v>18000</v>
      </c>
      <c r="E10" s="13">
        <f ca="1" t="shared" si="6"/>
        <v>18000</v>
      </c>
      <c r="F10" s="13">
        <f ca="1" t="shared" si="6"/>
        <v>18000</v>
      </c>
      <c r="G10" s="13">
        <f ca="1" t="shared" si="6"/>
        <v>18000</v>
      </c>
      <c r="H10" s="13">
        <f ca="1" t="shared" si="6"/>
        <v>18000</v>
      </c>
      <c r="I10" s="13">
        <f ca="1" t="shared" si="6"/>
        <v>18000</v>
      </c>
    </row>
    <row r="11" spans="2:9" ht="12.75">
      <c r="B11" s="15" t="s">
        <v>30</v>
      </c>
      <c r="C11" s="13">
        <f aca="true" t="shared" si="7" ref="C11:I11">C9-C10</f>
        <v>1350</v>
      </c>
      <c r="D11" s="13">
        <f t="shared" si="7"/>
        <v>500</v>
      </c>
      <c r="E11" s="13">
        <f t="shared" si="7"/>
        <v>500</v>
      </c>
      <c r="F11" s="13">
        <f t="shared" si="7"/>
        <v>500</v>
      </c>
      <c r="G11" s="13">
        <f t="shared" si="7"/>
        <v>500</v>
      </c>
      <c r="H11" s="13">
        <f t="shared" si="7"/>
        <v>500</v>
      </c>
      <c r="I11" s="13">
        <f t="shared" si="7"/>
        <v>500</v>
      </c>
    </row>
    <row r="12" spans="2:9" ht="12.75">
      <c r="B12" s="15" t="s">
        <v>87</v>
      </c>
      <c r="C12" s="81">
        <f ca="1" t="shared" si="8" ref="C12:I12">INDIRECT("'"&amp;C$3&amp;"'!F9")</f>
        <v>0.10759707371975236</v>
      </c>
      <c r="D12" s="81">
        <f ca="1" t="shared" si="8"/>
        <v>0.07499999999999996</v>
      </c>
      <c r="E12" s="81">
        <f ca="1" t="shared" si="8"/>
        <v>0.07499999999999996</v>
      </c>
      <c r="F12" s="81">
        <f ca="1" t="shared" si="8"/>
        <v>0.07499999999999996</v>
      </c>
      <c r="G12" s="81">
        <f ca="1" t="shared" si="8"/>
        <v>0.07499999999999996</v>
      </c>
      <c r="H12" s="81">
        <f ca="1" t="shared" si="8"/>
        <v>0.07499999999999996</v>
      </c>
      <c r="I12" s="81">
        <f ca="1" t="shared" si="8"/>
        <v>0.07499999999999996</v>
      </c>
    </row>
    <row r="13" spans="2:9" ht="12.75">
      <c r="B13" s="80" t="s">
        <v>88</v>
      </c>
      <c r="C13" s="81">
        <f ca="1" t="shared" si="9" ref="C13:I13">INDIRECT("'"&amp;C$3&amp;"'!F11")</f>
        <v>0.02492936679408343</v>
      </c>
      <c r="D13" s="81">
        <f ca="1" t="shared" si="9"/>
        <v>0.027777777777777776</v>
      </c>
      <c r="E13" s="81">
        <f ca="1" t="shared" si="9"/>
        <v>0.027777777777777776</v>
      </c>
      <c r="F13" s="81">
        <f ca="1" t="shared" si="9"/>
        <v>0.027777777777777776</v>
      </c>
      <c r="G13" s="81">
        <f ca="1" t="shared" si="9"/>
        <v>0.027777777777777776</v>
      </c>
      <c r="H13" s="81">
        <f ca="1" t="shared" si="9"/>
        <v>0.027777777777777776</v>
      </c>
      <c r="I13" s="81">
        <f ca="1" t="shared" si="9"/>
        <v>0.027777777777777776</v>
      </c>
    </row>
    <row r="14" spans="2:9" ht="12.75">
      <c r="B14" t="s">
        <v>6</v>
      </c>
      <c r="C14" s="14">
        <f ca="1" t="shared" si="10" ref="C14:I14">INDIRECT("'"&amp;C$3&amp;"'!D14")</f>
        <v>768.2161277777778</v>
      </c>
      <c r="D14" s="14">
        <f ca="1" t="shared" si="10"/>
        <v>229.33425641025642</v>
      </c>
      <c r="E14" s="14">
        <f ca="1" t="shared" si="10"/>
        <v>229.33425641025642</v>
      </c>
      <c r="F14" s="14">
        <f ca="1" t="shared" si="10"/>
        <v>229.33425641025642</v>
      </c>
      <c r="G14" s="14">
        <f ca="1" t="shared" si="10"/>
        <v>229.33425641025642</v>
      </c>
      <c r="H14" s="14">
        <f ca="1" t="shared" si="10"/>
        <v>229.33425641025642</v>
      </c>
      <c r="I14" s="14">
        <f ca="1" t="shared" si="10"/>
        <v>229.33425641025642</v>
      </c>
    </row>
    <row r="15" spans="2:9" ht="12.75">
      <c r="B15" t="s">
        <v>22</v>
      </c>
      <c r="C15" s="14">
        <f ca="1" t="shared" si="11" ref="C15:I15">INDIRECT("'"&amp;C$3&amp;"'!D16")</f>
        <v>821.9912567222223</v>
      </c>
      <c r="D15" s="14">
        <f ca="1" t="shared" si="11"/>
        <v>245.38765435897437</v>
      </c>
      <c r="E15" s="14">
        <f ca="1" t="shared" si="11"/>
        <v>245.38765435897437</v>
      </c>
      <c r="F15" s="14">
        <f ca="1" t="shared" si="11"/>
        <v>245.38765435897437</v>
      </c>
      <c r="G15" s="14">
        <f ca="1" t="shared" si="11"/>
        <v>245.38765435897437</v>
      </c>
      <c r="H15" s="14">
        <f ca="1" t="shared" si="11"/>
        <v>245.38765435897437</v>
      </c>
      <c r="I15" s="14">
        <f ca="1" t="shared" si="11"/>
        <v>245.38765435897437</v>
      </c>
    </row>
    <row r="16" spans="1:11" ht="12.75">
      <c r="A16" s="83"/>
      <c r="B16" s="17" t="s">
        <v>23</v>
      </c>
      <c r="C16" s="18">
        <f aca="true" t="shared" si="12" ref="C16:I16">(C22/C8)+C15</f>
        <v>821.9912567222223</v>
      </c>
      <c r="D16" s="18">
        <f t="shared" si="12"/>
        <v>245.38765435897437</v>
      </c>
      <c r="E16" s="18">
        <f t="shared" si="12"/>
        <v>245.38765435897437</v>
      </c>
      <c r="F16" s="18">
        <f t="shared" si="12"/>
        <v>245.38765435897437</v>
      </c>
      <c r="G16" s="18">
        <f t="shared" si="12"/>
        <v>245.38765435897437</v>
      </c>
      <c r="H16" s="18">
        <f t="shared" si="12"/>
        <v>245.38765435897437</v>
      </c>
      <c r="I16" s="18">
        <f t="shared" si="12"/>
        <v>245.38765435897437</v>
      </c>
      <c r="K16" s="13"/>
    </row>
    <row r="17" spans="2:11" ht="12.75">
      <c r="B17" s="17" t="s">
        <v>92</v>
      </c>
      <c r="C17" s="18">
        <f ca="1" t="shared" si="13" ref="C17:I17">INDIRECT("'"&amp;C$3&amp;"'!F16")+(C22/C8)</f>
        <v>828.1612567222222</v>
      </c>
      <c r="D17" s="18">
        <f ca="1" t="shared" si="13"/>
        <v>245.38765435897437</v>
      </c>
      <c r="E17" s="18">
        <f ca="1" t="shared" si="13"/>
        <v>245.38765435897437</v>
      </c>
      <c r="F17" s="18">
        <f ca="1" t="shared" si="13"/>
        <v>245.38765435897437</v>
      </c>
      <c r="G17" s="18">
        <f ca="1" t="shared" si="13"/>
        <v>245.38765435897437</v>
      </c>
      <c r="H17" s="18">
        <f ca="1" t="shared" si="13"/>
        <v>245.38765435897437</v>
      </c>
      <c r="I17" s="18">
        <f ca="1" t="shared" si="13"/>
        <v>245.38765435897437</v>
      </c>
      <c r="J17" s="13"/>
      <c r="K17" s="19"/>
    </row>
    <row r="18" spans="2:11" ht="12.75">
      <c r="B18" s="98" t="s">
        <v>112</v>
      </c>
      <c r="C18" s="34">
        <f ca="1" t="shared" si="14" ref="C18:I18">INDIRECT("'"&amp;C$3&amp;"'!D20")</f>
        <v>1798.1430250000003</v>
      </c>
      <c r="D18" s="34">
        <f ca="1" t="shared" si="14"/>
        <v>531.4830608974358</v>
      </c>
      <c r="E18" s="34">
        <f ca="1" t="shared" si="14"/>
        <v>531.4830608974358</v>
      </c>
      <c r="F18" s="34">
        <f ca="1" t="shared" si="14"/>
        <v>531.4830608974358</v>
      </c>
      <c r="G18" s="34">
        <f ca="1" t="shared" si="14"/>
        <v>531.4830608974358</v>
      </c>
      <c r="H18" s="34">
        <f ca="1" t="shared" si="14"/>
        <v>531.4830608974358</v>
      </c>
      <c r="I18" s="34">
        <f ca="1" t="shared" si="14"/>
        <v>531.4830608974358</v>
      </c>
      <c r="K18" s="19"/>
    </row>
    <row r="19" spans="2:11" ht="12.75">
      <c r="B19" s="98" t="s">
        <v>113</v>
      </c>
      <c r="C19" s="99" t="str">
        <f aca="true" t="shared" si="15" ref="C19:I19">IF(C20&lt;0,"LEASE","FINANCE")</f>
        <v>FINANCE</v>
      </c>
      <c r="D19" s="99" t="str">
        <f t="shared" si="15"/>
        <v>FINANCE</v>
      </c>
      <c r="E19" s="99" t="str">
        <f t="shared" si="15"/>
        <v>FINANCE</v>
      </c>
      <c r="F19" s="99" t="str">
        <f t="shared" si="15"/>
        <v>FINANCE</v>
      </c>
      <c r="G19" s="99" t="str">
        <f t="shared" si="15"/>
        <v>FINANCE</v>
      </c>
      <c r="H19" s="99" t="str">
        <f t="shared" si="15"/>
        <v>FINANCE</v>
      </c>
      <c r="I19" s="99" t="str">
        <f t="shared" si="15"/>
        <v>FINANCE</v>
      </c>
      <c r="K19" s="19"/>
    </row>
    <row r="20" spans="2:11" ht="12.75">
      <c r="B20" s="98" t="s">
        <v>115</v>
      </c>
      <c r="C20" s="34">
        <f ca="1" t="shared" si="16" ref="C20:I20">INDIRECT("'"&amp;C$3&amp;"'!E24")</f>
        <v>903.5306309256339</v>
      </c>
      <c r="D20" s="34">
        <f ca="1" t="shared" si="16"/>
        <v>505.6798235400456</v>
      </c>
      <c r="E20" s="34">
        <f ca="1" t="shared" si="16"/>
        <v>505.6798235400456</v>
      </c>
      <c r="F20" s="34">
        <f ca="1" t="shared" si="16"/>
        <v>505.6798235400456</v>
      </c>
      <c r="G20" s="34">
        <f ca="1" t="shared" si="16"/>
        <v>505.6798235400456</v>
      </c>
      <c r="H20" s="34">
        <f ca="1" t="shared" si="16"/>
        <v>505.6798235400456</v>
      </c>
      <c r="I20" s="34">
        <f ca="1" t="shared" si="16"/>
        <v>505.6798235400456</v>
      </c>
      <c r="K20" s="19"/>
    </row>
    <row r="21" spans="2:9" ht="12.75">
      <c r="B21" s="23" t="s">
        <v>25</v>
      </c>
      <c r="C21" s="13"/>
      <c r="D21" s="13"/>
      <c r="E21" s="13"/>
      <c r="F21" s="13"/>
      <c r="G21" s="13"/>
      <c r="H21" s="13"/>
      <c r="I21" s="13"/>
    </row>
    <row r="22" spans="2:9" ht="12.75">
      <c r="B22" t="s">
        <v>18</v>
      </c>
      <c r="C22" s="22">
        <f ca="1" t="shared" si="17" ref="C22:I22">INDIRECT("'"&amp;C$3&amp;"'!l21")</f>
        <v>0</v>
      </c>
      <c r="D22" s="22">
        <f ca="1" t="shared" si="17"/>
        <v>0</v>
      </c>
      <c r="E22" s="22">
        <f ca="1" t="shared" si="17"/>
        <v>0</v>
      </c>
      <c r="F22" s="22">
        <f ca="1" t="shared" si="17"/>
        <v>0</v>
      </c>
      <c r="G22" s="22">
        <f ca="1" t="shared" si="17"/>
        <v>0</v>
      </c>
      <c r="H22" s="22">
        <f ca="1" t="shared" si="17"/>
        <v>0</v>
      </c>
      <c r="I22" s="22">
        <f ca="1" t="shared" si="17"/>
        <v>0</v>
      </c>
    </row>
    <row r="23" spans="2:9" ht="12.75">
      <c r="B23" t="s">
        <v>17</v>
      </c>
      <c r="C23" s="13">
        <f aca="true" t="shared" si="18" ref="C23:I23">C17</f>
        <v>828.1612567222222</v>
      </c>
      <c r="D23" s="13">
        <f t="shared" si="18"/>
        <v>245.38765435897437</v>
      </c>
      <c r="E23" s="13">
        <f t="shared" si="18"/>
        <v>245.38765435897437</v>
      </c>
      <c r="F23" s="13">
        <f t="shared" si="18"/>
        <v>245.38765435897437</v>
      </c>
      <c r="G23" s="13">
        <f t="shared" si="18"/>
        <v>245.38765435897437</v>
      </c>
      <c r="H23" s="13">
        <f t="shared" si="18"/>
        <v>245.38765435897437</v>
      </c>
      <c r="I23" s="13">
        <f t="shared" si="18"/>
        <v>245.38765435897437</v>
      </c>
    </row>
    <row r="24" spans="2:10" ht="12.75">
      <c r="B24" s="15" t="s">
        <v>19</v>
      </c>
      <c r="C24" s="40">
        <f ca="1" t="shared" si="19" ref="C24:I24">INDIRECT("'"&amp;C$3&amp;"'!l23")</f>
        <v>595</v>
      </c>
      <c r="D24" s="40">
        <f ca="1" t="shared" si="19"/>
        <v>595</v>
      </c>
      <c r="E24" s="40">
        <f ca="1" t="shared" si="19"/>
        <v>595</v>
      </c>
      <c r="F24" s="40">
        <f ca="1" t="shared" si="19"/>
        <v>595</v>
      </c>
      <c r="G24" s="40">
        <f ca="1" t="shared" si="19"/>
        <v>595</v>
      </c>
      <c r="H24" s="40">
        <f ca="1" t="shared" si="19"/>
        <v>595</v>
      </c>
      <c r="I24" s="40">
        <f ca="1" t="shared" si="19"/>
        <v>595</v>
      </c>
      <c r="J24" s="13"/>
    </row>
    <row r="25" spans="2:9" ht="12.75">
      <c r="B25" t="s">
        <v>20</v>
      </c>
      <c r="C25" s="22">
        <f ca="1" t="shared" si="20" ref="C25:I25">INDIRECT("'"&amp;C$3&amp;"'!l24")</f>
        <v>0</v>
      </c>
      <c r="D25" s="22">
        <f ca="1" t="shared" si="20"/>
        <v>0</v>
      </c>
      <c r="E25" s="22">
        <f ca="1" t="shared" si="20"/>
        <v>0</v>
      </c>
      <c r="F25" s="22">
        <f ca="1" t="shared" si="20"/>
        <v>0</v>
      </c>
      <c r="G25" s="22">
        <f ca="1" t="shared" si="20"/>
        <v>0</v>
      </c>
      <c r="H25" s="22">
        <f ca="1" t="shared" si="20"/>
        <v>0</v>
      </c>
      <c r="I25" s="22">
        <f ca="1" t="shared" si="20"/>
        <v>0</v>
      </c>
    </row>
    <row r="26" spans="2:9" ht="12.75">
      <c r="B26" t="s">
        <v>15</v>
      </c>
      <c r="C26" s="22">
        <f ca="1" t="shared" si="21" ref="C26:I26">INDIRECT("'"&amp;C$3&amp;"'!l25")</f>
        <v>199</v>
      </c>
      <c r="D26" s="22">
        <f ca="1" t="shared" si="21"/>
        <v>199</v>
      </c>
      <c r="E26" s="22">
        <f ca="1" t="shared" si="21"/>
        <v>199</v>
      </c>
      <c r="F26" s="22">
        <f ca="1" t="shared" si="21"/>
        <v>199</v>
      </c>
      <c r="G26" s="22">
        <f ca="1" t="shared" si="21"/>
        <v>199</v>
      </c>
      <c r="H26" s="22">
        <f ca="1" t="shared" si="21"/>
        <v>199</v>
      </c>
      <c r="I26" s="22">
        <f ca="1" t="shared" si="21"/>
        <v>199</v>
      </c>
    </row>
    <row r="27" spans="2:9" ht="12.75">
      <c r="B27" t="s">
        <v>21</v>
      </c>
      <c r="C27" s="22">
        <f ca="1" t="shared" si="22" ref="C27:I27">INDIRECT("'"&amp;C$3&amp;"'!l26")</f>
        <v>7.5</v>
      </c>
      <c r="D27" s="22">
        <f ca="1" t="shared" si="22"/>
        <v>7.5</v>
      </c>
      <c r="E27" s="22">
        <f ca="1" t="shared" si="22"/>
        <v>7.5</v>
      </c>
      <c r="F27" s="22">
        <f ca="1" t="shared" si="22"/>
        <v>7.5</v>
      </c>
      <c r="G27" s="22">
        <f ca="1" t="shared" si="22"/>
        <v>7.5</v>
      </c>
      <c r="H27" s="22">
        <f ca="1" t="shared" si="22"/>
        <v>7.5</v>
      </c>
      <c r="I27" s="22">
        <f ca="1" t="shared" si="22"/>
        <v>7.5</v>
      </c>
    </row>
    <row r="28" spans="2:9" ht="12.75">
      <c r="B28" t="s">
        <v>16</v>
      </c>
      <c r="C28" s="22">
        <f ca="1" t="shared" si="23" ref="C28:I28">INDIRECT("'"&amp;C$3&amp;"'!l27")</f>
        <v>253</v>
      </c>
      <c r="D28" s="22">
        <f ca="1" t="shared" si="23"/>
        <v>253</v>
      </c>
      <c r="E28" s="22">
        <f ca="1" t="shared" si="23"/>
        <v>253</v>
      </c>
      <c r="F28" s="22">
        <f ca="1" t="shared" si="23"/>
        <v>253</v>
      </c>
      <c r="G28" s="22">
        <f ca="1" t="shared" si="23"/>
        <v>253</v>
      </c>
      <c r="H28" s="22">
        <f ca="1" t="shared" si="23"/>
        <v>253</v>
      </c>
      <c r="I28" s="22">
        <f ca="1" t="shared" si="23"/>
        <v>253</v>
      </c>
    </row>
    <row r="29" spans="2:9" ht="12.75">
      <c r="B29" t="s">
        <v>40</v>
      </c>
      <c r="C29" s="22">
        <f ca="1" t="shared" si="24" ref="C29:I29">INDIRECT("'"&amp;C$3&amp;"'!l28")</f>
        <v>0</v>
      </c>
      <c r="D29" s="22">
        <f ca="1" t="shared" si="24"/>
        <v>0</v>
      </c>
      <c r="E29" s="22">
        <f ca="1" t="shared" si="24"/>
        <v>0</v>
      </c>
      <c r="F29" s="22">
        <f ca="1" t="shared" si="24"/>
        <v>0</v>
      </c>
      <c r="G29" s="22">
        <f ca="1" t="shared" si="24"/>
        <v>0</v>
      </c>
      <c r="H29" s="22">
        <f ca="1" t="shared" si="24"/>
        <v>0</v>
      </c>
      <c r="I29" s="22">
        <f ca="1" t="shared" si="24"/>
        <v>0</v>
      </c>
    </row>
    <row r="30" spans="2:9" ht="12.75">
      <c r="B30" s="33" t="s">
        <v>14</v>
      </c>
      <c r="C30" s="34">
        <f>SUM(C22:C29)</f>
        <v>1882.6612567222223</v>
      </c>
      <c r="D30" s="34">
        <f aca="true" t="shared" si="25" ref="D30:I30">SUM(D22:D29)</f>
        <v>1299.8876543589745</v>
      </c>
      <c r="E30" s="34">
        <f t="shared" si="25"/>
        <v>1299.8876543589745</v>
      </c>
      <c r="F30" s="34">
        <f t="shared" si="25"/>
        <v>1299.8876543589745</v>
      </c>
      <c r="G30" s="34">
        <f t="shared" si="25"/>
        <v>1299.8876543589745</v>
      </c>
      <c r="H30" s="34">
        <f t="shared" si="25"/>
        <v>1299.8876543589745</v>
      </c>
      <c r="I30" s="34">
        <f t="shared" si="25"/>
        <v>1299.8876543589745</v>
      </c>
    </row>
    <row r="31" spans="2:9" ht="12.75">
      <c r="B31" s="28" t="s">
        <v>41</v>
      </c>
      <c r="C31" s="18">
        <f aca="true" t="shared" si="26" ref="C31:I31">C30-C29</f>
        <v>1882.6612567222223</v>
      </c>
      <c r="D31" s="18">
        <f t="shared" si="26"/>
        <v>1299.8876543589745</v>
      </c>
      <c r="E31" s="18">
        <f t="shared" si="26"/>
        <v>1299.8876543589745</v>
      </c>
      <c r="F31" s="18">
        <f t="shared" si="26"/>
        <v>1299.8876543589745</v>
      </c>
      <c r="G31" s="18">
        <f t="shared" si="26"/>
        <v>1299.8876543589745</v>
      </c>
      <c r="H31" s="18">
        <f t="shared" si="26"/>
        <v>1299.8876543589745</v>
      </c>
      <c r="I31" s="18">
        <f t="shared" si="26"/>
        <v>1299.8876543589745</v>
      </c>
    </row>
    <row r="32" spans="2:12" ht="12.75">
      <c r="B32" s="17" t="s">
        <v>57</v>
      </c>
      <c r="C32" s="18">
        <f aca="true" t="shared" si="27" ref="C32:I32">C31-C23</f>
        <v>1054.5</v>
      </c>
      <c r="D32" s="18">
        <f t="shared" si="27"/>
        <v>1054.5</v>
      </c>
      <c r="E32" s="18">
        <f t="shared" si="27"/>
        <v>1054.5</v>
      </c>
      <c r="F32" s="18">
        <f t="shared" si="27"/>
        <v>1054.5</v>
      </c>
      <c r="G32" s="18">
        <f t="shared" si="27"/>
        <v>1054.5</v>
      </c>
      <c r="H32" s="18">
        <f t="shared" si="27"/>
        <v>1054.5</v>
      </c>
      <c r="I32" s="18">
        <f t="shared" si="27"/>
        <v>1054.5</v>
      </c>
      <c r="L32" s="13"/>
    </row>
    <row r="33" ht="12.75">
      <c r="H33" s="13"/>
    </row>
    <row r="34" spans="2:7" ht="12.75">
      <c r="B34" s="25" t="s">
        <v>29</v>
      </c>
      <c r="C34" s="16"/>
      <c r="D34" s="35" t="s">
        <v>53</v>
      </c>
      <c r="G34" s="13"/>
    </row>
    <row r="35" spans="5:6" ht="12.75">
      <c r="E35" s="20"/>
      <c r="F35" s="20"/>
    </row>
    <row r="38" ht="12.75">
      <c r="G38" s="20"/>
    </row>
    <row r="39" ht="12.75">
      <c r="G39" s="19"/>
    </row>
  </sheetData>
  <mergeCells count="1">
    <mergeCell ref="A1:K1"/>
  </mergeCells>
  <printOptions/>
  <pageMargins left="0.75" right="0.75" top="1" bottom="1" header="0.5" footer="0.5"/>
  <pageSetup fitToHeight="1" fitToWidth="1" horizontalDpi="600" verticalDpi="600" orientation="landscape" scale="8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 sqref="A1"/>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131</v>
      </c>
      <c r="D2" s="151"/>
      <c r="E2" s="151"/>
      <c r="F2" s="152"/>
      <c r="H2" s="69"/>
      <c r="I2" s="115" t="s">
        <v>55</v>
      </c>
      <c r="J2" s="156" t="s">
        <v>127</v>
      </c>
      <c r="K2" s="156"/>
      <c r="L2" s="157"/>
      <c r="N2">
        <f>D10/D3</f>
        <v>0.8924029262802476</v>
      </c>
      <c r="Q2" s="109" t="s">
        <v>125</v>
      </c>
      <c r="V2" s="109" t="s">
        <v>125</v>
      </c>
      <c r="AA2" s="109" t="s">
        <v>125</v>
      </c>
    </row>
    <row r="3" spans="2:27" ht="12.75">
      <c r="B3" s="15"/>
      <c r="C3" s="9" t="s">
        <v>0</v>
      </c>
      <c r="D3" s="39">
        <f>K17</f>
        <v>62195</v>
      </c>
      <c r="E3" s="73"/>
      <c r="F3" s="46"/>
      <c r="H3" s="150" t="s">
        <v>116</v>
      </c>
      <c r="I3" s="153"/>
      <c r="J3" s="154"/>
      <c r="K3" s="104" t="s">
        <v>0</v>
      </c>
      <c r="L3" s="105" t="s">
        <v>26</v>
      </c>
      <c r="M3" s="84" t="s">
        <v>121</v>
      </c>
      <c r="N3" s="45" t="s">
        <v>122</v>
      </c>
      <c r="Q3" s="110" t="s">
        <v>123</v>
      </c>
      <c r="V3" s="110" t="s">
        <v>124</v>
      </c>
      <c r="AA3" s="111" t="s">
        <v>126</v>
      </c>
    </row>
    <row r="4" spans="3:27" ht="12.75">
      <c r="C4" s="11" t="s">
        <v>26</v>
      </c>
      <c r="D4" s="27">
        <f>L17</f>
        <v>54153</v>
      </c>
      <c r="E4" s="5"/>
      <c r="F4" s="3"/>
      <c r="H4" s="65" t="s">
        <v>46</v>
      </c>
      <c r="I4" s="4"/>
      <c r="J4" s="64" t="s">
        <v>48</v>
      </c>
      <c r="K4" s="132">
        <v>59100</v>
      </c>
      <c r="L4" s="133">
        <v>51392</v>
      </c>
      <c r="M4">
        <f>L4-(K4*$D$7)</f>
        <v>15341</v>
      </c>
      <c r="N4" s="20">
        <f>(M4)/$D$6</f>
        <v>426.1388888888889</v>
      </c>
      <c r="O4" s="20">
        <f>(L4+(K4*$D$7))*$D$5</f>
        <v>262.329</v>
      </c>
      <c r="P4" s="20">
        <f>N4+O4</f>
        <v>688.4678888888889</v>
      </c>
      <c r="Q4" s="107">
        <f>P4*1.07</f>
        <v>736.6606411111111</v>
      </c>
      <c r="R4" s="20">
        <f>($K4)-($K4*$D$7)</f>
        <v>23049</v>
      </c>
      <c r="S4" s="20">
        <f>(R4)/$D$6</f>
        <v>640.25</v>
      </c>
      <c r="T4" s="20">
        <f>(($K4)+($K4*$D$7))*$D$5</f>
        <v>285.45300000000003</v>
      </c>
      <c r="U4" s="20">
        <f>S4+T4</f>
        <v>925.703</v>
      </c>
      <c r="V4" s="107">
        <f>U4*1.07</f>
        <v>990.50221</v>
      </c>
      <c r="W4">
        <f>($K4*$N$2)-($K4*$D$7)</f>
        <v>16690.012943162634</v>
      </c>
      <c r="X4" s="20">
        <f>(W4)/$D$6</f>
        <v>463.6114706434065</v>
      </c>
      <c r="Y4" s="20">
        <f>(($K4*$N$2)+($K4*$D$7))*$D$5</f>
        <v>266.3760388294879</v>
      </c>
      <c r="Z4" s="20">
        <f>X4+Y4</f>
        <v>729.9875094728944</v>
      </c>
      <c r="AA4" s="107">
        <f>Z4*1.07</f>
        <v>781.0866351359971</v>
      </c>
    </row>
    <row r="5" spans="3:27" ht="12.75">
      <c r="C5" s="10" t="s">
        <v>1</v>
      </c>
      <c r="D5" s="125">
        <v>0.003</v>
      </c>
      <c r="E5" s="43" t="s">
        <v>54</v>
      </c>
      <c r="F5" s="26">
        <f>D5*2400</f>
        <v>7.2</v>
      </c>
      <c r="H5" s="65" t="s">
        <v>52</v>
      </c>
      <c r="I5" s="116" t="s">
        <v>130</v>
      </c>
      <c r="J5" s="4"/>
      <c r="K5" s="70"/>
      <c r="L5" s="66"/>
      <c r="M5" s="84"/>
      <c r="N5" s="45"/>
      <c r="Q5" s="107"/>
      <c r="R5" s="20"/>
      <c r="S5" s="20"/>
      <c r="T5" s="20"/>
      <c r="U5" s="20"/>
      <c r="V5" s="107"/>
      <c r="AA5" s="112"/>
    </row>
    <row r="6" spans="1:27" ht="12.75">
      <c r="A6" s="13"/>
      <c r="C6" s="10" t="s">
        <v>2</v>
      </c>
      <c r="D6" s="125">
        <v>36</v>
      </c>
      <c r="E6" s="4"/>
      <c r="F6" s="3"/>
      <c r="H6" s="134" t="s">
        <v>45</v>
      </c>
      <c r="I6" s="135" t="s">
        <v>82</v>
      </c>
      <c r="J6" s="125"/>
      <c r="K6" s="132">
        <v>1090</v>
      </c>
      <c r="L6" s="133">
        <v>927</v>
      </c>
      <c r="M6">
        <f aca="true" t="shared" si="0" ref="M6:M15">L6-(K6*$D$7)</f>
        <v>262.1</v>
      </c>
      <c r="N6" s="20">
        <f aca="true" t="shared" si="1" ref="N6:N15">(M6)/$D$6</f>
        <v>7.280555555555556</v>
      </c>
      <c r="O6" s="20">
        <f aca="true" t="shared" si="2" ref="O6:O15">(L6+(K6*$D$7))*$D$5</f>
        <v>4.7757000000000005</v>
      </c>
      <c r="P6" s="20">
        <f aca="true" t="shared" si="3" ref="P6:P15">N6+O6</f>
        <v>12.056255555555556</v>
      </c>
      <c r="Q6" s="107">
        <f aca="true" t="shared" si="4" ref="Q6:Q15">P6*1.07</f>
        <v>12.900193444444445</v>
      </c>
      <c r="R6" s="20">
        <f aca="true" t="shared" si="5" ref="R6:R15">($K6)-($K6*$D$7)</f>
        <v>425.1</v>
      </c>
      <c r="S6" s="20">
        <f aca="true" t="shared" si="6" ref="S6:S15">(R6)/$D$6</f>
        <v>11.808333333333334</v>
      </c>
      <c r="T6" s="20">
        <f aca="true" t="shared" si="7" ref="T6:T15">(($K6)+($K6*$D$7))*$D$5</f>
        <v>5.2647</v>
      </c>
      <c r="U6" s="20">
        <f aca="true" t="shared" si="8" ref="U6:U15">S6+T6</f>
        <v>17.073033333333335</v>
      </c>
      <c r="V6" s="107">
        <f aca="true" t="shared" si="9" ref="V6:V15">U6*1.07</f>
        <v>18.26814566666667</v>
      </c>
      <c r="W6">
        <f aca="true" t="shared" si="10" ref="W6:W15">($K6*$N$2)-($K6*$D$7)</f>
        <v>307.8191896454699</v>
      </c>
      <c r="X6" s="20">
        <f aca="true" t="shared" si="11" ref="X6:X15">(W6)/$D$6</f>
        <v>8.550533045707498</v>
      </c>
      <c r="Y6" s="20">
        <f aca="true" t="shared" si="12" ref="Y6:Y15">(($K6*$N$2)+($K6*$D$7))*$D$5</f>
        <v>4.91285756893641</v>
      </c>
      <c r="Z6" s="20">
        <f aca="true" t="shared" si="13" ref="Z6:Z15">X6+Y6</f>
        <v>13.463390614643908</v>
      </c>
      <c r="AA6" s="107">
        <f aca="true" t="shared" si="14" ref="AA6:AA15">Z6*1.07</f>
        <v>14.405827957668983</v>
      </c>
    </row>
    <row r="7" spans="3:27" ht="12.75">
      <c r="C7" s="11" t="s">
        <v>86</v>
      </c>
      <c r="D7" s="126">
        <v>0.61</v>
      </c>
      <c r="E7" s="52" t="s">
        <v>91</v>
      </c>
      <c r="F7" s="31">
        <f>D9/D10</f>
        <v>0.6835477361584058</v>
      </c>
      <c r="H7" s="136" t="s">
        <v>45</v>
      </c>
      <c r="I7" s="135" t="s">
        <v>83</v>
      </c>
      <c r="J7" s="125"/>
      <c r="K7" s="132">
        <v>550</v>
      </c>
      <c r="L7" s="133">
        <v>468</v>
      </c>
      <c r="M7">
        <f t="shared" si="0"/>
        <v>132.5</v>
      </c>
      <c r="N7" s="20">
        <f t="shared" si="1"/>
        <v>3.6805555555555554</v>
      </c>
      <c r="O7" s="20">
        <f t="shared" si="2"/>
        <v>2.4105</v>
      </c>
      <c r="P7" s="20">
        <f t="shared" si="3"/>
        <v>6.091055555555555</v>
      </c>
      <c r="Q7" s="107">
        <f t="shared" si="4"/>
        <v>6.517429444444445</v>
      </c>
      <c r="R7" s="20">
        <f t="shared" si="5"/>
        <v>214.5</v>
      </c>
      <c r="S7" s="20">
        <f t="shared" si="6"/>
        <v>5.958333333333333</v>
      </c>
      <c r="T7" s="20">
        <f t="shared" si="7"/>
        <v>2.6565</v>
      </c>
      <c r="U7" s="20">
        <f t="shared" si="8"/>
        <v>8.614833333333333</v>
      </c>
      <c r="V7" s="107">
        <f t="shared" si="9"/>
        <v>9.217871666666667</v>
      </c>
      <c r="W7">
        <f t="shared" si="10"/>
        <v>155.3216094541362</v>
      </c>
      <c r="X7" s="20">
        <f t="shared" si="11"/>
        <v>4.314489151503783</v>
      </c>
      <c r="Y7" s="20">
        <f t="shared" si="12"/>
        <v>2.478964828362409</v>
      </c>
      <c r="Z7" s="20">
        <f t="shared" si="13"/>
        <v>6.793453979866191</v>
      </c>
      <c r="AA7" s="107">
        <f t="shared" si="14"/>
        <v>7.268995758456825</v>
      </c>
    </row>
    <row r="8" spans="3:27" ht="12.75">
      <c r="C8" s="11" t="s">
        <v>7</v>
      </c>
      <c r="D8" s="127">
        <v>0.07</v>
      </c>
      <c r="E8" s="4"/>
      <c r="F8" s="3"/>
      <c r="H8" s="134" t="s">
        <v>45</v>
      </c>
      <c r="I8" s="125" t="s">
        <v>84</v>
      </c>
      <c r="J8" s="125"/>
      <c r="K8" s="132">
        <v>115</v>
      </c>
      <c r="L8" s="133">
        <v>98</v>
      </c>
      <c r="M8">
        <f t="shared" si="0"/>
        <v>27.85000000000001</v>
      </c>
      <c r="N8" s="20">
        <f t="shared" si="1"/>
        <v>0.7736111111111114</v>
      </c>
      <c r="O8" s="20">
        <f t="shared" si="2"/>
        <v>0.50445</v>
      </c>
      <c r="P8" s="20">
        <f t="shared" si="3"/>
        <v>1.2780611111111113</v>
      </c>
      <c r="Q8" s="107">
        <f t="shared" si="4"/>
        <v>1.3675253888888892</v>
      </c>
      <c r="R8" s="20">
        <f t="shared" si="5"/>
        <v>44.85000000000001</v>
      </c>
      <c r="S8" s="20">
        <f t="shared" si="6"/>
        <v>1.2458333333333336</v>
      </c>
      <c r="T8" s="20">
        <f t="shared" si="7"/>
        <v>0.5554499999999999</v>
      </c>
      <c r="U8" s="20">
        <f t="shared" si="8"/>
        <v>1.8012833333333336</v>
      </c>
      <c r="V8" s="107">
        <f t="shared" si="9"/>
        <v>1.9273731666666671</v>
      </c>
      <c r="W8">
        <f t="shared" si="10"/>
        <v>32.47633652222849</v>
      </c>
      <c r="X8" s="20">
        <f t="shared" si="11"/>
        <v>0.9021204589507915</v>
      </c>
      <c r="Y8" s="20">
        <f t="shared" si="12"/>
        <v>0.5183290095666854</v>
      </c>
      <c r="Z8" s="20">
        <f t="shared" si="13"/>
        <v>1.4204494685174769</v>
      </c>
      <c r="AA8" s="107">
        <f t="shared" si="14"/>
        <v>1.5198809313137003</v>
      </c>
    </row>
    <row r="9" spans="3:27" ht="12.75">
      <c r="C9" s="11" t="s">
        <v>90</v>
      </c>
      <c r="D9" s="27">
        <f>D3*D7</f>
        <v>37938.95</v>
      </c>
      <c r="E9" s="42" t="s">
        <v>61</v>
      </c>
      <c r="F9" s="51">
        <f>1-(D10/D3)</f>
        <v>0.10759707371975236</v>
      </c>
      <c r="G9" s="13"/>
      <c r="H9" s="134" t="s">
        <v>45</v>
      </c>
      <c r="I9" s="135" t="s">
        <v>60</v>
      </c>
      <c r="J9" s="125"/>
      <c r="K9" s="132">
        <v>480</v>
      </c>
      <c r="L9" s="133">
        <v>408</v>
      </c>
      <c r="M9">
        <f t="shared" si="0"/>
        <v>115.19999999999999</v>
      </c>
      <c r="N9" s="20">
        <f t="shared" si="1"/>
        <v>3.1999999999999997</v>
      </c>
      <c r="O9" s="20">
        <f t="shared" si="2"/>
        <v>2.1024</v>
      </c>
      <c r="P9" s="20">
        <f t="shared" si="3"/>
        <v>5.3024</v>
      </c>
      <c r="Q9" s="107">
        <f t="shared" si="4"/>
        <v>5.6735679999999995</v>
      </c>
      <c r="R9" s="20">
        <f t="shared" si="5"/>
        <v>187.2</v>
      </c>
      <c r="S9" s="20">
        <f t="shared" si="6"/>
        <v>5.199999999999999</v>
      </c>
      <c r="T9" s="20">
        <f t="shared" si="7"/>
        <v>2.3184</v>
      </c>
      <c r="U9" s="20">
        <f t="shared" si="8"/>
        <v>7.5184</v>
      </c>
      <c r="V9" s="107">
        <f t="shared" si="9"/>
        <v>8.044688</v>
      </c>
      <c r="W9">
        <f t="shared" si="10"/>
        <v>135.55340461451885</v>
      </c>
      <c r="X9" s="20">
        <f t="shared" si="11"/>
        <v>3.7653723504033016</v>
      </c>
      <c r="Y9" s="20">
        <f t="shared" si="12"/>
        <v>2.163460213843557</v>
      </c>
      <c r="Z9" s="20">
        <f t="shared" si="13"/>
        <v>5.928832564246859</v>
      </c>
      <c r="AA9" s="107">
        <f t="shared" si="14"/>
        <v>6.343850843744139</v>
      </c>
    </row>
    <row r="10" spans="1:27" ht="12.75">
      <c r="A10" s="13"/>
      <c r="C10" s="10" t="s">
        <v>4</v>
      </c>
      <c r="D10" s="128">
        <v>55503</v>
      </c>
      <c r="E10" s="42" t="s">
        <v>58</v>
      </c>
      <c r="F10" s="44">
        <f>D10-D4</f>
        <v>1350</v>
      </c>
      <c r="H10" s="134" t="s">
        <v>50</v>
      </c>
      <c r="I10" s="125" t="s">
        <v>85</v>
      </c>
      <c r="J10" s="125"/>
      <c r="K10" s="132">
        <v>690</v>
      </c>
      <c r="L10" s="133">
        <v>587</v>
      </c>
      <c r="M10">
        <f t="shared" si="0"/>
        <v>166.10000000000002</v>
      </c>
      <c r="N10" s="20">
        <f t="shared" si="1"/>
        <v>4.61388888888889</v>
      </c>
      <c r="O10" s="20">
        <f t="shared" si="2"/>
        <v>3.0237</v>
      </c>
      <c r="P10" s="20">
        <f t="shared" si="3"/>
        <v>7.63758888888889</v>
      </c>
      <c r="Q10" s="107">
        <f t="shared" si="4"/>
        <v>8.172220111111113</v>
      </c>
      <c r="R10" s="20">
        <f t="shared" si="5"/>
        <v>269.1</v>
      </c>
      <c r="S10" s="20">
        <f t="shared" si="6"/>
        <v>7.4750000000000005</v>
      </c>
      <c r="T10" s="20">
        <f t="shared" si="7"/>
        <v>3.3327000000000004</v>
      </c>
      <c r="U10" s="20">
        <f t="shared" si="8"/>
        <v>10.8077</v>
      </c>
      <c r="V10" s="107">
        <f t="shared" si="9"/>
        <v>11.564239</v>
      </c>
      <c r="W10">
        <f t="shared" si="10"/>
        <v>194.85801913337093</v>
      </c>
      <c r="X10" s="20">
        <f t="shared" si="11"/>
        <v>5.412722753704748</v>
      </c>
      <c r="Y10" s="20">
        <f t="shared" si="12"/>
        <v>3.109974057400113</v>
      </c>
      <c r="Z10" s="20">
        <f t="shared" si="13"/>
        <v>8.522696811104861</v>
      </c>
      <c r="AA10" s="107">
        <f t="shared" si="14"/>
        <v>9.119285587882203</v>
      </c>
    </row>
    <row r="11" spans="3:27" ht="12.75">
      <c r="C11" s="10" t="s">
        <v>3</v>
      </c>
      <c r="D11" s="27">
        <f>(D10-D9)</f>
        <v>17564.050000000003</v>
      </c>
      <c r="E11" s="48" t="s">
        <v>62</v>
      </c>
      <c r="F11" s="51">
        <f>F10/D4</f>
        <v>0.02492936679408343</v>
      </c>
      <c r="H11" s="134"/>
      <c r="I11" s="125"/>
      <c r="J11" s="125"/>
      <c r="K11" s="132"/>
      <c r="L11" s="133"/>
      <c r="M11">
        <f t="shared" si="0"/>
        <v>0</v>
      </c>
      <c r="N11" s="20">
        <f t="shared" si="1"/>
        <v>0</v>
      </c>
      <c r="O11" s="20">
        <f t="shared" si="2"/>
        <v>0</v>
      </c>
      <c r="P11" s="20">
        <f t="shared" si="3"/>
        <v>0</v>
      </c>
      <c r="Q11" s="107">
        <f t="shared" si="4"/>
        <v>0</v>
      </c>
      <c r="R11" s="20">
        <f t="shared" si="5"/>
        <v>0</v>
      </c>
      <c r="S11" s="20">
        <f t="shared" si="6"/>
        <v>0</v>
      </c>
      <c r="T11" s="20">
        <f t="shared" si="7"/>
        <v>0</v>
      </c>
      <c r="U11" s="20">
        <f t="shared" si="8"/>
        <v>0</v>
      </c>
      <c r="V11" s="107">
        <f t="shared" si="9"/>
        <v>0</v>
      </c>
      <c r="W11">
        <f t="shared" si="10"/>
        <v>0</v>
      </c>
      <c r="X11" s="20">
        <f t="shared" si="11"/>
        <v>0</v>
      </c>
      <c r="Y11" s="20">
        <f t="shared" si="12"/>
        <v>0</v>
      </c>
      <c r="Z11" s="20">
        <f t="shared" si="13"/>
        <v>0</v>
      </c>
      <c r="AA11" s="107">
        <f t="shared" si="14"/>
        <v>0</v>
      </c>
    </row>
    <row r="12" spans="3:27" ht="12.75">
      <c r="C12" s="10" t="s">
        <v>5</v>
      </c>
      <c r="D12" s="5">
        <f>(D11-L21)/D6</f>
        <v>487.89027777777784</v>
      </c>
      <c r="E12" s="4"/>
      <c r="F12" s="3"/>
      <c r="H12" s="134"/>
      <c r="I12" s="135"/>
      <c r="J12" s="125"/>
      <c r="K12" s="132"/>
      <c r="L12" s="133"/>
      <c r="M12">
        <f t="shared" si="0"/>
        <v>0</v>
      </c>
      <c r="N12" s="20">
        <f t="shared" si="1"/>
        <v>0</v>
      </c>
      <c r="O12" s="20">
        <f t="shared" si="2"/>
        <v>0</v>
      </c>
      <c r="P12" s="20">
        <f t="shared" si="3"/>
        <v>0</v>
      </c>
      <c r="Q12" s="107">
        <f t="shared" si="4"/>
        <v>0</v>
      </c>
      <c r="R12" s="20">
        <f t="shared" si="5"/>
        <v>0</v>
      </c>
      <c r="S12" s="20">
        <f t="shared" si="6"/>
        <v>0</v>
      </c>
      <c r="T12" s="20">
        <f t="shared" si="7"/>
        <v>0</v>
      </c>
      <c r="U12" s="20">
        <f t="shared" si="8"/>
        <v>0</v>
      </c>
      <c r="V12" s="107">
        <f t="shared" si="9"/>
        <v>0</v>
      </c>
      <c r="W12">
        <f t="shared" si="10"/>
        <v>0</v>
      </c>
      <c r="X12" s="20">
        <f t="shared" si="11"/>
        <v>0</v>
      </c>
      <c r="Y12" s="20">
        <f t="shared" si="12"/>
        <v>0</v>
      </c>
      <c r="Z12" s="20">
        <f t="shared" si="13"/>
        <v>0</v>
      </c>
      <c r="AA12" s="107">
        <f t="shared" si="14"/>
        <v>0</v>
      </c>
    </row>
    <row r="13" spans="3:27" ht="12.75">
      <c r="C13" s="11" t="s">
        <v>8</v>
      </c>
      <c r="D13" s="5">
        <f>(D10+D9-L21)*D5</f>
        <v>280.32585</v>
      </c>
      <c r="E13" s="8"/>
      <c r="F13" s="3"/>
      <c r="H13" s="134"/>
      <c r="I13" s="135"/>
      <c r="J13" s="125"/>
      <c r="K13" s="132"/>
      <c r="L13" s="133"/>
      <c r="M13">
        <f t="shared" si="0"/>
        <v>0</v>
      </c>
      <c r="N13" s="20">
        <f t="shared" si="1"/>
        <v>0</v>
      </c>
      <c r="O13" s="20">
        <f t="shared" si="2"/>
        <v>0</v>
      </c>
      <c r="P13" s="20">
        <f t="shared" si="3"/>
        <v>0</v>
      </c>
      <c r="Q13" s="107">
        <f t="shared" si="4"/>
        <v>0</v>
      </c>
      <c r="R13" s="20">
        <f t="shared" si="5"/>
        <v>0</v>
      </c>
      <c r="S13" s="20">
        <f t="shared" si="6"/>
        <v>0</v>
      </c>
      <c r="T13" s="20">
        <f t="shared" si="7"/>
        <v>0</v>
      </c>
      <c r="U13" s="20">
        <f t="shared" si="8"/>
        <v>0</v>
      </c>
      <c r="V13" s="107">
        <f t="shared" si="9"/>
        <v>0</v>
      </c>
      <c r="W13">
        <f t="shared" si="10"/>
        <v>0</v>
      </c>
      <c r="X13" s="20">
        <f t="shared" si="11"/>
        <v>0</v>
      </c>
      <c r="Y13" s="20">
        <f t="shared" si="12"/>
        <v>0</v>
      </c>
      <c r="Z13" s="20">
        <f t="shared" si="13"/>
        <v>0</v>
      </c>
      <c r="AA13" s="107">
        <f t="shared" si="14"/>
        <v>0</v>
      </c>
    </row>
    <row r="14" spans="3:27" ht="12.75">
      <c r="C14" s="10" t="s">
        <v>6</v>
      </c>
      <c r="D14" s="5">
        <f>D12+D13</f>
        <v>768.2161277777778</v>
      </c>
      <c r="E14" s="8"/>
      <c r="F14" s="3"/>
      <c r="H14" s="134"/>
      <c r="I14" s="135"/>
      <c r="J14" s="125"/>
      <c r="K14" s="132"/>
      <c r="L14" s="133"/>
      <c r="M14">
        <f t="shared" si="0"/>
        <v>0</v>
      </c>
      <c r="N14" s="20">
        <f t="shared" si="1"/>
        <v>0</v>
      </c>
      <c r="O14" s="20">
        <f t="shared" si="2"/>
        <v>0</v>
      </c>
      <c r="P14" s="20">
        <f t="shared" si="3"/>
        <v>0</v>
      </c>
      <c r="Q14" s="107">
        <f t="shared" si="4"/>
        <v>0</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53.775128944444454</v>
      </c>
      <c r="E15" s="8"/>
      <c r="F15" s="3"/>
      <c r="H15" s="137" t="s">
        <v>45</v>
      </c>
      <c r="I15" s="138" t="s">
        <v>47</v>
      </c>
      <c r="J15" s="138"/>
      <c r="K15" s="139">
        <v>860</v>
      </c>
      <c r="L15" s="140">
        <v>860</v>
      </c>
      <c r="M15">
        <f t="shared" si="0"/>
        <v>335.4</v>
      </c>
      <c r="N15" s="20">
        <f t="shared" si="1"/>
        <v>9.316666666666666</v>
      </c>
      <c r="O15" s="20">
        <f t="shared" si="2"/>
        <v>4.1537999999999995</v>
      </c>
      <c r="P15" s="20">
        <f t="shared" si="3"/>
        <v>13.470466666666667</v>
      </c>
      <c r="Q15" s="108">
        <f t="shared" si="4"/>
        <v>14.413399333333334</v>
      </c>
      <c r="R15" s="20">
        <f t="shared" si="5"/>
        <v>335.4</v>
      </c>
      <c r="S15" s="20">
        <f t="shared" si="6"/>
        <v>9.316666666666666</v>
      </c>
      <c r="T15" s="20">
        <f t="shared" si="7"/>
        <v>4.1537999999999995</v>
      </c>
      <c r="U15" s="20">
        <f t="shared" si="8"/>
        <v>13.470466666666667</v>
      </c>
      <c r="V15" s="108">
        <f t="shared" si="9"/>
        <v>14.413399333333334</v>
      </c>
      <c r="W15">
        <f t="shared" si="10"/>
        <v>242.8665166010129</v>
      </c>
      <c r="X15" s="20">
        <f t="shared" si="11"/>
        <v>6.746292127805914</v>
      </c>
      <c r="Y15" s="20">
        <f t="shared" si="12"/>
        <v>3.8761995498030393</v>
      </c>
      <c r="Z15" s="20">
        <f t="shared" si="13"/>
        <v>10.622491677608952</v>
      </c>
      <c r="AA15" s="107">
        <f t="shared" si="14"/>
        <v>11.36606609504158</v>
      </c>
    </row>
    <row r="16" spans="3:27" ht="12.75" customHeight="1">
      <c r="C16" s="36" t="s">
        <v>11</v>
      </c>
      <c r="D16" s="37">
        <f>D14+D15</f>
        <v>821.9912567222223</v>
      </c>
      <c r="E16" s="49" t="str">
        <f>IF(D10&gt;45000,FIXED((D10*0.004/D6),2),)</f>
        <v>6.17</v>
      </c>
      <c r="F16" s="50">
        <f>D16+VALUE(E16)</f>
        <v>828.1612567222222</v>
      </c>
      <c r="J16" s="25" t="s">
        <v>51</v>
      </c>
      <c r="K16" s="71">
        <f>SUMIF($H$6:$H$15,"Y",K6:K15)</f>
        <v>3095</v>
      </c>
      <c r="L16" s="68">
        <f>SUMIF($H$6:$H$15,"Y",L6:L15)</f>
        <v>2761</v>
      </c>
      <c r="M16" s="13"/>
      <c r="N16" s="19"/>
      <c r="Q16" s="113">
        <f>SUMIF($H$6:$H$15,"Y",Q6:Q15)</f>
        <v>40.87211561111111</v>
      </c>
      <c r="R16" s="20"/>
      <c r="S16" s="20"/>
      <c r="T16" s="20"/>
      <c r="U16" s="20"/>
      <c r="V16" s="113">
        <f>SUMIF($H$6:$H$15,"Y",V6:V15)</f>
        <v>51.87147783333333</v>
      </c>
      <c r="AA16" s="113">
        <f>SUMIF($H$6:$H$15,"Y",AA6:AA15)</f>
        <v>40.904621586225225</v>
      </c>
    </row>
    <row r="17" spans="9:27" ht="12.75" customHeight="1">
      <c r="I17" s="95"/>
      <c r="J17" s="63" t="s">
        <v>14</v>
      </c>
      <c r="K17" s="72">
        <f>K4+K16</f>
        <v>62195</v>
      </c>
      <c r="L17" s="67">
        <f>L4+L16</f>
        <v>54153</v>
      </c>
      <c r="M17" s="13"/>
      <c r="N17" s="19"/>
      <c r="Q17" s="114">
        <f>Q4+Q16</f>
        <v>777.5327567222222</v>
      </c>
      <c r="R17" s="20"/>
      <c r="S17" s="20"/>
      <c r="T17" s="20"/>
      <c r="U17" s="20"/>
      <c r="V17" s="114">
        <f>V4+V16</f>
        <v>1042.3736878333334</v>
      </c>
      <c r="AA17" s="114">
        <f>AA4+AA16</f>
        <v>821.9912567222223</v>
      </c>
    </row>
    <row r="18" spans="1:15" ht="12.75" customHeight="1">
      <c r="A18" s="13"/>
      <c r="C18" s="150" t="s">
        <v>69</v>
      </c>
      <c r="D18" s="151"/>
      <c r="E18" s="151"/>
      <c r="F18" s="152"/>
      <c r="N18" s="13"/>
      <c r="O18" s="19"/>
    </row>
    <row r="19" spans="3:9" ht="12.75">
      <c r="C19" s="9" t="s">
        <v>65</v>
      </c>
      <c r="D19" s="55">
        <f>(((D10*(1+D8)*(F19/2))*(D6/12))+D10*(1+D8))</f>
        <v>64733.14890000001</v>
      </c>
      <c r="E19" s="1" t="s">
        <v>66</v>
      </c>
      <c r="F19" s="129">
        <v>0.06</v>
      </c>
      <c r="I19" s="13"/>
    </row>
    <row r="20" spans="3:15" ht="12.75">
      <c r="C20" s="103" t="s">
        <v>68</v>
      </c>
      <c r="D20" s="100">
        <f>D19/D6</f>
        <v>1798.1430250000003</v>
      </c>
      <c r="E20" s="101"/>
      <c r="F20" s="102"/>
      <c r="H20" s="155" t="s">
        <v>49</v>
      </c>
      <c r="I20" s="151"/>
      <c r="J20" s="151"/>
      <c r="K20" s="151"/>
      <c r="L20" s="152"/>
      <c r="N20" s="13"/>
      <c r="O20" s="19"/>
    </row>
    <row r="21" spans="3:15" ht="12.75">
      <c r="C21" s="54" t="s">
        <v>107</v>
      </c>
      <c r="D21" s="5">
        <f>D19-D9</f>
        <v>26794.19890000001</v>
      </c>
      <c r="E21" s="5">
        <f>D21/D6</f>
        <v>744.2833027777781</v>
      </c>
      <c r="F21" s="94" t="s">
        <v>106</v>
      </c>
      <c r="H21" s="2"/>
      <c r="I21" s="4" t="s">
        <v>18</v>
      </c>
      <c r="J21" s="27"/>
      <c r="K21" s="4"/>
      <c r="L21" s="141">
        <v>0</v>
      </c>
      <c r="N21" s="13"/>
      <c r="O21" s="19"/>
    </row>
    <row r="22" spans="3:15" ht="12.75">
      <c r="C22" s="11" t="s">
        <v>108</v>
      </c>
      <c r="D22" s="5">
        <f>D20-F16</f>
        <v>969.9817682777781</v>
      </c>
      <c r="E22" s="96" t="s">
        <v>109</v>
      </c>
      <c r="F22" s="130">
        <v>0.04</v>
      </c>
      <c r="H22" s="2"/>
      <c r="I22" s="4" t="s">
        <v>17</v>
      </c>
      <c r="J22" s="27"/>
      <c r="K22" s="4"/>
      <c r="L22" s="58">
        <f>D16</f>
        <v>821.9912567222223</v>
      </c>
      <c r="N22" s="13"/>
      <c r="O22" s="19"/>
    </row>
    <row r="23" spans="3:15" ht="12.75">
      <c r="C23" s="54" t="s">
        <v>110</v>
      </c>
      <c r="D23" s="5">
        <f>FV(F22/12,D6,-D22)</f>
        <v>37035.41936907436</v>
      </c>
      <c r="E23" s="4" t="str">
        <f>"After "&amp;D6&amp;" Months"</f>
        <v>After 36 Months</v>
      </c>
      <c r="F23" s="3"/>
      <c r="H23" s="2"/>
      <c r="I23" s="52" t="s">
        <v>19</v>
      </c>
      <c r="J23" s="47"/>
      <c r="K23" s="4"/>
      <c r="L23" s="142">
        <v>595</v>
      </c>
      <c r="N23" s="13"/>
      <c r="O23" s="19"/>
    </row>
    <row r="24" spans="3:15" ht="12.75">
      <c r="C24" s="86" t="s">
        <v>111</v>
      </c>
      <c r="D24" s="13">
        <f>D9</f>
        <v>37938.95</v>
      </c>
      <c r="E24" s="97">
        <f>D9-D23</f>
        <v>903.5306309256339</v>
      </c>
      <c r="F24" s="7" t="s">
        <v>104</v>
      </c>
      <c r="H24" s="2"/>
      <c r="I24" s="4" t="s">
        <v>20</v>
      </c>
      <c r="J24" s="47"/>
      <c r="K24" s="4"/>
      <c r="L24" s="142">
        <v>0</v>
      </c>
      <c r="N24" s="13"/>
      <c r="O24" s="19"/>
    </row>
    <row r="25" spans="3:15" ht="12.75">
      <c r="C25" s="144" t="s">
        <v>70</v>
      </c>
      <c r="D25" s="145"/>
      <c r="E25" s="145"/>
      <c r="F25" s="146"/>
      <c r="H25" s="2"/>
      <c r="I25" s="4" t="s">
        <v>15</v>
      </c>
      <c r="J25" s="47"/>
      <c r="K25" s="4"/>
      <c r="L25" s="142">
        <v>199</v>
      </c>
      <c r="N25" s="13"/>
      <c r="O25" s="19"/>
    </row>
    <row r="26" spans="3:15" ht="12.75">
      <c r="C26" s="85"/>
      <c r="D26" s="1"/>
      <c r="E26" s="87" t="s">
        <v>100</v>
      </c>
      <c r="F26" s="88" t="s">
        <v>102</v>
      </c>
      <c r="H26" s="2"/>
      <c r="I26" s="4" t="s">
        <v>21</v>
      </c>
      <c r="J26" s="47"/>
      <c r="K26" s="4"/>
      <c r="L26" s="142">
        <v>7.5</v>
      </c>
      <c r="N26" s="13"/>
      <c r="O26" s="19"/>
    </row>
    <row r="27" spans="3:15" ht="12.75">
      <c r="C27" s="11" t="s">
        <v>103</v>
      </c>
      <c r="D27" s="27">
        <f>F16*D6</f>
        <v>29813.805242</v>
      </c>
      <c r="E27" s="5">
        <f>D27*(D39/100)</f>
        <v>2413.87474141853</v>
      </c>
      <c r="F27" s="131">
        <v>0.05</v>
      </c>
      <c r="H27" s="2"/>
      <c r="I27" s="4" t="s">
        <v>16</v>
      </c>
      <c r="J27" s="47"/>
      <c r="K27" s="4"/>
      <c r="L27" s="142">
        <v>253</v>
      </c>
      <c r="N27" s="13"/>
      <c r="O27" s="19"/>
    </row>
    <row r="28" spans="3:15" ht="12.75">
      <c r="C28" s="53" t="s">
        <v>67</v>
      </c>
      <c r="D28" s="5">
        <f>(D10*(1+D8))-D9</f>
        <v>21449.26000000001</v>
      </c>
      <c r="E28" s="4"/>
      <c r="F28" s="3"/>
      <c r="H28" s="2"/>
      <c r="I28" s="4" t="s">
        <v>40</v>
      </c>
      <c r="J28" s="47"/>
      <c r="K28" s="4"/>
      <c r="L28" s="142"/>
      <c r="N28" s="13"/>
      <c r="O28" s="19"/>
    </row>
    <row r="29" spans="3:15" ht="12.75">
      <c r="C29" s="10" t="s">
        <v>10</v>
      </c>
      <c r="D29" s="27">
        <f>(D10*(1+D8))-D27</f>
        <v>29574.404758000008</v>
      </c>
      <c r="E29" s="5">
        <f>(D29*F29)*(D6/12)</f>
        <v>4436.160713700001</v>
      </c>
      <c r="F29" s="131">
        <v>0.05</v>
      </c>
      <c r="H29" s="61"/>
      <c r="I29" s="56" t="s">
        <v>14</v>
      </c>
      <c r="J29" s="57"/>
      <c r="K29" s="57"/>
      <c r="L29" s="59">
        <f>SUM(L21:L28)</f>
        <v>1876.4912567222223</v>
      </c>
      <c r="N29" s="13"/>
      <c r="O29" s="19"/>
    </row>
    <row r="30" spans="3:15" ht="12.75">
      <c r="C30" s="11" t="s">
        <v>101</v>
      </c>
      <c r="D30" s="5">
        <f>D27-D28</f>
        <v>8364.54524199999</v>
      </c>
      <c r="E30" s="5">
        <f>E27+E29</f>
        <v>6850.035455118531</v>
      </c>
      <c r="F30" s="3"/>
      <c r="H30" s="62"/>
      <c r="I30" s="38" t="s">
        <v>41</v>
      </c>
      <c r="J30" s="37"/>
      <c r="K30" s="37"/>
      <c r="L30" s="60">
        <f>L29-L28</f>
        <v>1876.4912567222223</v>
      </c>
      <c r="N30" s="13"/>
      <c r="O30" s="19"/>
    </row>
    <row r="31" spans="3:15" ht="12.75">
      <c r="C31" s="89" t="s">
        <v>105</v>
      </c>
      <c r="D31" s="12">
        <f>D30-E30</f>
        <v>1514.5097868814582</v>
      </c>
      <c r="E31" s="6"/>
      <c r="F31" s="7"/>
      <c r="N31" s="13"/>
      <c r="O31" s="19"/>
    </row>
    <row r="32" spans="3:15" ht="12.75">
      <c r="C32" s="147" t="str">
        <f>"NOTE: Tax on purchase "&amp;TEXT(D10*D8,"$######")&amp;" - tax on lease "&amp;TEXT(D15*D6,"$######")&amp;" = "&amp;TEXT((D10*D8)-(D15*D6),"$######")&amp;" Tax Saving"</f>
        <v>NOTE: Tax on purchase $3885 - tax on lease $1936 = $1949 Tax Saving</v>
      </c>
      <c r="D32" s="148"/>
      <c r="E32" s="148"/>
      <c r="F32" s="149"/>
      <c r="H32" s="25" t="s">
        <v>29</v>
      </c>
      <c r="I32" s="16"/>
      <c r="J32" s="35" t="s">
        <v>53</v>
      </c>
      <c r="N32" s="13"/>
      <c r="O32" s="19"/>
    </row>
    <row r="33" spans="14:15" ht="6" customHeight="1">
      <c r="N33" s="13"/>
      <c r="O33" s="19"/>
    </row>
    <row r="34" ht="12.75">
      <c r="B34" s="45"/>
    </row>
    <row r="36" spans="14:15" ht="12.75">
      <c r="N36" s="13"/>
      <c r="O36" s="19"/>
    </row>
    <row r="37" spans="3:15" ht="12.75">
      <c r="C37" s="90"/>
      <c r="D37" s="91" t="s">
        <v>75</v>
      </c>
      <c r="E37" s="91" t="s">
        <v>76</v>
      </c>
      <c r="F37" s="91" t="s">
        <v>77</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8.0965</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A51"/>
  <sheetViews>
    <sheetView showGridLines="0" workbookViewId="0" topLeftCell="A1">
      <selection activeCell="A1" sqref="A1:K1"/>
    </sheetView>
  </sheetViews>
  <sheetFormatPr defaultColWidth="9.140625" defaultRowHeight="12.75"/>
  <cols>
    <col min="1" max="2" width="1.7109375" style="0" customWidth="1"/>
    <col min="3" max="3" width="30.140625" style="0" customWidth="1"/>
    <col min="4" max="4" width="9.7109375" style="0" customWidth="1"/>
    <col min="5" max="5" width="11.00390625" style="0" bestFit="1" customWidth="1"/>
    <col min="6" max="6" width="6.8515625" style="0" customWidth="1"/>
    <col min="7" max="7" width="1.7109375" style="0" customWidth="1"/>
    <col min="8" max="8" width="4.140625" style="0" customWidth="1"/>
    <col min="10" max="10" width="20.7109375" style="0" customWidth="1"/>
    <col min="13" max="15" width="9.140625" style="0" hidden="1" customWidth="1"/>
    <col min="16" max="16" width="7.8515625" style="0" hidden="1" customWidth="1"/>
    <col min="18" max="21" width="9.140625" style="0" hidden="1" customWidth="1"/>
    <col min="23" max="27" width="9.140625" style="0" hidden="1" customWidth="1"/>
  </cols>
  <sheetData>
    <row r="1" ht="6.75" customHeight="1"/>
    <row r="2" spans="3:27" ht="12.75">
      <c r="C2" s="150" t="s">
        <v>131</v>
      </c>
      <c r="D2" s="151"/>
      <c r="E2" s="151"/>
      <c r="F2" s="152"/>
      <c r="H2" s="69"/>
      <c r="I2" s="115" t="s">
        <v>55</v>
      </c>
      <c r="J2" s="158" t="s">
        <v>147</v>
      </c>
      <c r="K2" s="156"/>
      <c r="L2" s="157"/>
      <c r="N2">
        <f>D10/D3</f>
        <v>0.925</v>
      </c>
      <c r="Q2" s="109" t="s">
        <v>125</v>
      </c>
      <c r="V2" s="109" t="s">
        <v>125</v>
      </c>
      <c r="AA2" s="109" t="s">
        <v>125</v>
      </c>
    </row>
    <row r="3" spans="2:27" ht="12.75">
      <c r="B3" s="15"/>
      <c r="C3" s="9" t="s">
        <v>0</v>
      </c>
      <c r="D3" s="39">
        <f>K17</f>
        <v>20000</v>
      </c>
      <c r="E3" s="73"/>
      <c r="F3" s="46"/>
      <c r="H3" s="150" t="s">
        <v>116</v>
      </c>
      <c r="I3" s="153"/>
      <c r="J3" s="154"/>
      <c r="K3" s="104" t="s">
        <v>0</v>
      </c>
      <c r="L3" s="105" t="s">
        <v>26</v>
      </c>
      <c r="M3" s="84" t="s">
        <v>121</v>
      </c>
      <c r="N3" s="45" t="s">
        <v>122</v>
      </c>
      <c r="Q3" s="110" t="s">
        <v>123</v>
      </c>
      <c r="V3" s="110" t="s">
        <v>124</v>
      </c>
      <c r="AA3" s="111" t="s">
        <v>126</v>
      </c>
    </row>
    <row r="4" spans="3:27" ht="12.75">
      <c r="C4" s="11" t="s">
        <v>26</v>
      </c>
      <c r="D4" s="27">
        <f>L17</f>
        <v>18000</v>
      </c>
      <c r="E4" s="5"/>
      <c r="F4" s="3"/>
      <c r="H4" s="65" t="s">
        <v>46</v>
      </c>
      <c r="I4" s="4"/>
      <c r="J4" s="64" t="s">
        <v>48</v>
      </c>
      <c r="K4" s="132">
        <v>20000</v>
      </c>
      <c r="L4" s="133">
        <v>18000</v>
      </c>
      <c r="M4">
        <f>L4-(K4*$D$7)</f>
        <v>5600</v>
      </c>
      <c r="N4" s="20">
        <f>(M4)/$D$6</f>
        <v>143.5897435897436</v>
      </c>
      <c r="O4" s="20">
        <f>(L4+(K4*$D$7))*$D$5</f>
        <v>71.744</v>
      </c>
      <c r="P4" s="20">
        <f>N4+O4</f>
        <v>215.3337435897436</v>
      </c>
      <c r="Q4" s="107">
        <f>P4*1.07</f>
        <v>230.40710564102565</v>
      </c>
      <c r="R4" s="20">
        <f>($K4)-($K4*$D$7)</f>
        <v>7600</v>
      </c>
      <c r="S4" s="20">
        <f>(R4)/$D$6</f>
        <v>194.87179487179486</v>
      </c>
      <c r="T4" s="20">
        <f>(($K4)+($K4*$D$7))*$D$5</f>
        <v>76.464</v>
      </c>
      <c r="U4" s="20">
        <f>S4+T4</f>
        <v>271.33579487179486</v>
      </c>
      <c r="V4" s="107">
        <f>U4*1.07</f>
        <v>290.3293005128205</v>
      </c>
      <c r="W4">
        <f>($K4*$N$2)-($K4*$D$7)</f>
        <v>6100</v>
      </c>
      <c r="X4" s="20">
        <f>(W4)/$D$6</f>
        <v>156.4102564102564</v>
      </c>
      <c r="Y4" s="20">
        <f>(($K4*$N$2)+($K4*$D$7))*$D$5</f>
        <v>72.924</v>
      </c>
      <c r="Z4" s="20">
        <f>X4+Y4</f>
        <v>229.33425641025642</v>
      </c>
      <c r="AA4" s="107">
        <f>Z4*1.07</f>
        <v>245.38765435897437</v>
      </c>
    </row>
    <row r="5" spans="3:27" ht="12.75">
      <c r="C5" s="10" t="s">
        <v>1</v>
      </c>
      <c r="D5" s="125">
        <v>0.00236</v>
      </c>
      <c r="E5" s="43" t="s">
        <v>54</v>
      </c>
      <c r="F5" s="26">
        <f>D5*2400</f>
        <v>5.664000000000001</v>
      </c>
      <c r="H5" s="65" t="s">
        <v>52</v>
      </c>
      <c r="I5" s="116" t="s">
        <v>130</v>
      </c>
      <c r="J5" s="4"/>
      <c r="K5" s="70"/>
      <c r="L5" s="66"/>
      <c r="M5" s="84"/>
      <c r="N5" s="45"/>
      <c r="Q5" s="107"/>
      <c r="R5" s="20"/>
      <c r="S5" s="20"/>
      <c r="T5" s="20"/>
      <c r="U5" s="20"/>
      <c r="V5" s="107"/>
      <c r="AA5" s="112"/>
    </row>
    <row r="6" spans="1:27" ht="12.75">
      <c r="A6" s="13"/>
      <c r="C6" s="10" t="s">
        <v>2</v>
      </c>
      <c r="D6" s="125">
        <v>39</v>
      </c>
      <c r="E6" s="4"/>
      <c r="F6" s="3"/>
      <c r="H6" s="134" t="s">
        <v>45</v>
      </c>
      <c r="I6" s="135"/>
      <c r="J6" s="125"/>
      <c r="K6" s="132">
        <v>0</v>
      </c>
      <c r="L6" s="133">
        <v>0</v>
      </c>
      <c r="M6">
        <f aca="true" t="shared" si="0" ref="M6:M15">L6-(K6*$D$7)</f>
        <v>0</v>
      </c>
      <c r="N6" s="20">
        <f aca="true" t="shared" si="1" ref="N6:N15">(M6)/$D$6</f>
        <v>0</v>
      </c>
      <c r="O6" s="20">
        <f aca="true" t="shared" si="2" ref="O6:O15">(L6+(K6*$D$7))*$D$5</f>
        <v>0</v>
      </c>
      <c r="P6" s="20">
        <f aca="true" t="shared" si="3" ref="P6:P15">N6+O6</f>
        <v>0</v>
      </c>
      <c r="Q6" s="107">
        <f aca="true" t="shared" si="4" ref="Q6:Q15">P6*1.07</f>
        <v>0</v>
      </c>
      <c r="R6" s="20">
        <f aca="true" t="shared" si="5" ref="R6:R15">($K6)-($K6*$D$7)</f>
        <v>0</v>
      </c>
      <c r="S6" s="20">
        <f aca="true" t="shared" si="6" ref="S6:S15">(R6)/$D$6</f>
        <v>0</v>
      </c>
      <c r="T6" s="20">
        <f aca="true" t="shared" si="7" ref="T6:T15">(($K6)+($K6*$D$7))*$D$5</f>
        <v>0</v>
      </c>
      <c r="U6" s="20">
        <f aca="true" t="shared" si="8" ref="U6:U15">S6+T6</f>
        <v>0</v>
      </c>
      <c r="V6" s="107">
        <f aca="true" t="shared" si="9" ref="V6:V15">U6*1.07</f>
        <v>0</v>
      </c>
      <c r="W6">
        <f aca="true" t="shared" si="10" ref="W6:W15">($K6*$N$2)-($K6*$D$7)</f>
        <v>0</v>
      </c>
      <c r="X6" s="20">
        <f aca="true" t="shared" si="11" ref="X6:X15">(W6)/$D$6</f>
        <v>0</v>
      </c>
      <c r="Y6" s="20">
        <f aca="true" t="shared" si="12" ref="Y6:Y15">(($K6*$N$2)+($K6*$D$7))*$D$5</f>
        <v>0</v>
      </c>
      <c r="Z6" s="20">
        <f aca="true" t="shared" si="13" ref="Z6:Z15">X6+Y6</f>
        <v>0</v>
      </c>
      <c r="AA6" s="107">
        <f aca="true" t="shared" si="14" ref="AA6:AA15">Z6*1.07</f>
        <v>0</v>
      </c>
    </row>
    <row r="7" spans="3:27" ht="12.75">
      <c r="C7" s="11" t="s">
        <v>86</v>
      </c>
      <c r="D7" s="126">
        <v>0.62</v>
      </c>
      <c r="E7" s="52" t="s">
        <v>91</v>
      </c>
      <c r="F7" s="31">
        <f>D9/D10</f>
        <v>0.6702702702702703</v>
      </c>
      <c r="H7" s="136" t="s">
        <v>45</v>
      </c>
      <c r="I7" s="135"/>
      <c r="J7" s="125"/>
      <c r="K7" s="132">
        <v>0</v>
      </c>
      <c r="L7" s="133">
        <v>0</v>
      </c>
      <c r="M7">
        <f t="shared" si="0"/>
        <v>0</v>
      </c>
      <c r="N7" s="20">
        <f t="shared" si="1"/>
        <v>0</v>
      </c>
      <c r="O7" s="20">
        <f t="shared" si="2"/>
        <v>0</v>
      </c>
      <c r="P7" s="20">
        <f t="shared" si="3"/>
        <v>0</v>
      </c>
      <c r="Q7" s="107">
        <f t="shared" si="4"/>
        <v>0</v>
      </c>
      <c r="R7" s="20">
        <f t="shared" si="5"/>
        <v>0</v>
      </c>
      <c r="S7" s="20">
        <f t="shared" si="6"/>
        <v>0</v>
      </c>
      <c r="T7" s="20">
        <f t="shared" si="7"/>
        <v>0</v>
      </c>
      <c r="U7" s="20">
        <f t="shared" si="8"/>
        <v>0</v>
      </c>
      <c r="V7" s="107">
        <f t="shared" si="9"/>
        <v>0</v>
      </c>
      <c r="W7">
        <f t="shared" si="10"/>
        <v>0</v>
      </c>
      <c r="X7" s="20">
        <f t="shared" si="11"/>
        <v>0</v>
      </c>
      <c r="Y7" s="20">
        <f t="shared" si="12"/>
        <v>0</v>
      </c>
      <c r="Z7" s="20">
        <f t="shared" si="13"/>
        <v>0</v>
      </c>
      <c r="AA7" s="107">
        <f t="shared" si="14"/>
        <v>0</v>
      </c>
    </row>
    <row r="8" spans="3:27" ht="12.75">
      <c r="C8" s="11" t="s">
        <v>7</v>
      </c>
      <c r="D8" s="127">
        <v>0.07</v>
      </c>
      <c r="E8" s="4"/>
      <c r="F8" s="3"/>
      <c r="H8" s="134" t="s">
        <v>45</v>
      </c>
      <c r="I8" s="125"/>
      <c r="J8" s="125"/>
      <c r="K8" s="132">
        <v>0</v>
      </c>
      <c r="L8" s="133">
        <v>0</v>
      </c>
      <c r="M8">
        <f t="shared" si="0"/>
        <v>0</v>
      </c>
      <c r="N8" s="20">
        <f t="shared" si="1"/>
        <v>0</v>
      </c>
      <c r="O8" s="20">
        <f t="shared" si="2"/>
        <v>0</v>
      </c>
      <c r="P8" s="20">
        <f t="shared" si="3"/>
        <v>0</v>
      </c>
      <c r="Q8" s="107">
        <f t="shared" si="4"/>
        <v>0</v>
      </c>
      <c r="R8" s="20">
        <f t="shared" si="5"/>
        <v>0</v>
      </c>
      <c r="S8" s="20">
        <f t="shared" si="6"/>
        <v>0</v>
      </c>
      <c r="T8" s="20">
        <f t="shared" si="7"/>
        <v>0</v>
      </c>
      <c r="U8" s="20">
        <f t="shared" si="8"/>
        <v>0</v>
      </c>
      <c r="V8" s="107">
        <f t="shared" si="9"/>
        <v>0</v>
      </c>
      <c r="W8">
        <f t="shared" si="10"/>
        <v>0</v>
      </c>
      <c r="X8" s="20">
        <f t="shared" si="11"/>
        <v>0</v>
      </c>
      <c r="Y8" s="20">
        <f t="shared" si="12"/>
        <v>0</v>
      </c>
      <c r="Z8" s="20">
        <f t="shared" si="13"/>
        <v>0</v>
      </c>
      <c r="AA8" s="107">
        <f t="shared" si="14"/>
        <v>0</v>
      </c>
    </row>
    <row r="9" spans="3:27" ht="12.75">
      <c r="C9" s="11" t="s">
        <v>90</v>
      </c>
      <c r="D9" s="27">
        <f>D3*D7</f>
        <v>12400</v>
      </c>
      <c r="E9" s="42" t="s">
        <v>61</v>
      </c>
      <c r="F9" s="51">
        <f>1-(D10/D3)</f>
        <v>0.07499999999999996</v>
      </c>
      <c r="G9" s="13"/>
      <c r="H9" s="134" t="s">
        <v>45</v>
      </c>
      <c r="I9" s="135"/>
      <c r="J9" s="125"/>
      <c r="K9" s="132">
        <v>0</v>
      </c>
      <c r="L9" s="133">
        <v>0</v>
      </c>
      <c r="M9">
        <f t="shared" si="0"/>
        <v>0</v>
      </c>
      <c r="N9" s="20">
        <f t="shared" si="1"/>
        <v>0</v>
      </c>
      <c r="O9" s="20">
        <f t="shared" si="2"/>
        <v>0</v>
      </c>
      <c r="P9" s="20">
        <f t="shared" si="3"/>
        <v>0</v>
      </c>
      <c r="Q9" s="107">
        <f t="shared" si="4"/>
        <v>0</v>
      </c>
      <c r="R9" s="20">
        <f t="shared" si="5"/>
        <v>0</v>
      </c>
      <c r="S9" s="20">
        <f t="shared" si="6"/>
        <v>0</v>
      </c>
      <c r="T9" s="20">
        <f t="shared" si="7"/>
        <v>0</v>
      </c>
      <c r="U9" s="20">
        <f t="shared" si="8"/>
        <v>0</v>
      </c>
      <c r="V9" s="107">
        <f t="shared" si="9"/>
        <v>0</v>
      </c>
      <c r="W9">
        <f t="shared" si="10"/>
        <v>0</v>
      </c>
      <c r="X9" s="20">
        <f t="shared" si="11"/>
        <v>0</v>
      </c>
      <c r="Y9" s="20">
        <f t="shared" si="12"/>
        <v>0</v>
      </c>
      <c r="Z9" s="20">
        <f t="shared" si="13"/>
        <v>0</v>
      </c>
      <c r="AA9" s="107">
        <f t="shared" si="14"/>
        <v>0</v>
      </c>
    </row>
    <row r="10" spans="1:27" ht="12.75">
      <c r="A10" s="13"/>
      <c r="C10" s="10" t="s">
        <v>4</v>
      </c>
      <c r="D10" s="128">
        <f>D4+500</f>
        <v>18500</v>
      </c>
      <c r="E10" s="42" t="s">
        <v>58</v>
      </c>
      <c r="F10" s="44">
        <f>D10-D4</f>
        <v>500</v>
      </c>
      <c r="H10" s="134" t="s">
        <v>45</v>
      </c>
      <c r="I10" s="125"/>
      <c r="J10" s="125"/>
      <c r="K10" s="132">
        <v>0</v>
      </c>
      <c r="L10" s="133">
        <v>0</v>
      </c>
      <c r="M10">
        <f t="shared" si="0"/>
        <v>0</v>
      </c>
      <c r="N10" s="20">
        <f t="shared" si="1"/>
        <v>0</v>
      </c>
      <c r="O10" s="20">
        <f t="shared" si="2"/>
        <v>0</v>
      </c>
      <c r="P10" s="20">
        <f t="shared" si="3"/>
        <v>0</v>
      </c>
      <c r="Q10" s="107">
        <f t="shared" si="4"/>
        <v>0</v>
      </c>
      <c r="R10" s="20">
        <f t="shared" si="5"/>
        <v>0</v>
      </c>
      <c r="S10" s="20">
        <f t="shared" si="6"/>
        <v>0</v>
      </c>
      <c r="T10" s="20">
        <f t="shared" si="7"/>
        <v>0</v>
      </c>
      <c r="U10" s="20">
        <f t="shared" si="8"/>
        <v>0</v>
      </c>
      <c r="V10" s="107">
        <f t="shared" si="9"/>
        <v>0</v>
      </c>
      <c r="W10">
        <f t="shared" si="10"/>
        <v>0</v>
      </c>
      <c r="X10" s="20">
        <f t="shared" si="11"/>
        <v>0</v>
      </c>
      <c r="Y10" s="20">
        <f t="shared" si="12"/>
        <v>0</v>
      </c>
      <c r="Z10" s="20">
        <f t="shared" si="13"/>
        <v>0</v>
      </c>
      <c r="AA10" s="107">
        <f t="shared" si="14"/>
        <v>0</v>
      </c>
    </row>
    <row r="11" spans="3:27" ht="12.75">
      <c r="C11" s="10" t="s">
        <v>3</v>
      </c>
      <c r="D11" s="27">
        <f>(D10-D9)</f>
        <v>6100</v>
      </c>
      <c r="E11" s="48" t="s">
        <v>62</v>
      </c>
      <c r="F11" s="51">
        <f>F10/D4</f>
        <v>0.027777777777777776</v>
      </c>
      <c r="H11" s="134" t="s">
        <v>45</v>
      </c>
      <c r="I11" s="125"/>
      <c r="J11" s="125"/>
      <c r="K11" s="132">
        <v>0</v>
      </c>
      <c r="L11" s="133">
        <v>0</v>
      </c>
      <c r="M11">
        <f t="shared" si="0"/>
        <v>0</v>
      </c>
      <c r="N11" s="20">
        <f t="shared" si="1"/>
        <v>0</v>
      </c>
      <c r="O11" s="20">
        <f t="shared" si="2"/>
        <v>0</v>
      </c>
      <c r="P11" s="20">
        <f t="shared" si="3"/>
        <v>0</v>
      </c>
      <c r="Q11" s="107">
        <f t="shared" si="4"/>
        <v>0</v>
      </c>
      <c r="R11" s="20">
        <f t="shared" si="5"/>
        <v>0</v>
      </c>
      <c r="S11" s="20">
        <f t="shared" si="6"/>
        <v>0</v>
      </c>
      <c r="T11" s="20">
        <f t="shared" si="7"/>
        <v>0</v>
      </c>
      <c r="U11" s="20">
        <f t="shared" si="8"/>
        <v>0</v>
      </c>
      <c r="V11" s="107">
        <f t="shared" si="9"/>
        <v>0</v>
      </c>
      <c r="W11">
        <f t="shared" si="10"/>
        <v>0</v>
      </c>
      <c r="X11" s="20">
        <f t="shared" si="11"/>
        <v>0</v>
      </c>
      <c r="Y11" s="20">
        <f t="shared" si="12"/>
        <v>0</v>
      </c>
      <c r="Z11" s="20">
        <f t="shared" si="13"/>
        <v>0</v>
      </c>
      <c r="AA11" s="107">
        <f t="shared" si="14"/>
        <v>0</v>
      </c>
    </row>
    <row r="12" spans="3:27" ht="12.75">
      <c r="C12" s="10" t="s">
        <v>5</v>
      </c>
      <c r="D12" s="5">
        <f>(D11-L21)/D6</f>
        <v>156.4102564102564</v>
      </c>
      <c r="E12" s="4"/>
      <c r="F12" s="3"/>
      <c r="H12" s="134" t="s">
        <v>45</v>
      </c>
      <c r="I12" s="135"/>
      <c r="J12" s="125"/>
      <c r="K12" s="132">
        <v>0</v>
      </c>
      <c r="L12" s="133">
        <v>0</v>
      </c>
      <c r="M12">
        <f t="shared" si="0"/>
        <v>0</v>
      </c>
      <c r="N12" s="20">
        <f t="shared" si="1"/>
        <v>0</v>
      </c>
      <c r="O12" s="20">
        <f t="shared" si="2"/>
        <v>0</v>
      </c>
      <c r="P12" s="20">
        <f t="shared" si="3"/>
        <v>0</v>
      </c>
      <c r="Q12" s="107">
        <f t="shared" si="4"/>
        <v>0</v>
      </c>
      <c r="R12" s="20">
        <f t="shared" si="5"/>
        <v>0</v>
      </c>
      <c r="S12" s="20">
        <f t="shared" si="6"/>
        <v>0</v>
      </c>
      <c r="T12" s="20">
        <f t="shared" si="7"/>
        <v>0</v>
      </c>
      <c r="U12" s="20">
        <f t="shared" si="8"/>
        <v>0</v>
      </c>
      <c r="V12" s="107">
        <f t="shared" si="9"/>
        <v>0</v>
      </c>
      <c r="W12">
        <f t="shared" si="10"/>
        <v>0</v>
      </c>
      <c r="X12" s="20">
        <f t="shared" si="11"/>
        <v>0</v>
      </c>
      <c r="Y12" s="20">
        <f t="shared" si="12"/>
        <v>0</v>
      </c>
      <c r="Z12" s="20">
        <f t="shared" si="13"/>
        <v>0</v>
      </c>
      <c r="AA12" s="107">
        <f t="shared" si="14"/>
        <v>0</v>
      </c>
    </row>
    <row r="13" spans="3:27" ht="12.75">
      <c r="C13" s="11" t="s">
        <v>8</v>
      </c>
      <c r="D13" s="5">
        <f>(D10+D9-L21)*D5</f>
        <v>72.924</v>
      </c>
      <c r="E13" s="8"/>
      <c r="F13" s="3"/>
      <c r="H13" s="134" t="s">
        <v>45</v>
      </c>
      <c r="I13" s="135"/>
      <c r="J13" s="125"/>
      <c r="K13" s="132">
        <v>0</v>
      </c>
      <c r="L13" s="133">
        <v>0</v>
      </c>
      <c r="M13">
        <f t="shared" si="0"/>
        <v>0</v>
      </c>
      <c r="N13" s="20">
        <f t="shared" si="1"/>
        <v>0</v>
      </c>
      <c r="O13" s="20">
        <f t="shared" si="2"/>
        <v>0</v>
      </c>
      <c r="P13" s="20">
        <f t="shared" si="3"/>
        <v>0</v>
      </c>
      <c r="Q13" s="107">
        <f t="shared" si="4"/>
        <v>0</v>
      </c>
      <c r="R13" s="20">
        <f t="shared" si="5"/>
        <v>0</v>
      </c>
      <c r="S13" s="20">
        <f t="shared" si="6"/>
        <v>0</v>
      </c>
      <c r="T13" s="20">
        <f t="shared" si="7"/>
        <v>0</v>
      </c>
      <c r="U13" s="20">
        <f t="shared" si="8"/>
        <v>0</v>
      </c>
      <c r="V13" s="107">
        <f t="shared" si="9"/>
        <v>0</v>
      </c>
      <c r="W13">
        <f t="shared" si="10"/>
        <v>0</v>
      </c>
      <c r="X13" s="20">
        <f t="shared" si="11"/>
        <v>0</v>
      </c>
      <c r="Y13" s="20">
        <f t="shared" si="12"/>
        <v>0</v>
      </c>
      <c r="Z13" s="20">
        <f t="shared" si="13"/>
        <v>0</v>
      </c>
      <c r="AA13" s="107">
        <f t="shared" si="14"/>
        <v>0</v>
      </c>
    </row>
    <row r="14" spans="3:27" ht="12.75">
      <c r="C14" s="10" t="s">
        <v>6</v>
      </c>
      <c r="D14" s="5">
        <f>D12+D13</f>
        <v>229.33425641025642</v>
      </c>
      <c r="E14" s="8"/>
      <c r="F14" s="3"/>
      <c r="H14" s="134" t="s">
        <v>45</v>
      </c>
      <c r="I14" s="135"/>
      <c r="J14" s="125"/>
      <c r="K14" s="132">
        <v>0</v>
      </c>
      <c r="L14" s="133">
        <v>0</v>
      </c>
      <c r="M14">
        <f t="shared" si="0"/>
        <v>0</v>
      </c>
      <c r="N14" s="20">
        <f t="shared" si="1"/>
        <v>0</v>
      </c>
      <c r="O14" s="20">
        <f t="shared" si="2"/>
        <v>0</v>
      </c>
      <c r="P14" s="20">
        <f t="shared" si="3"/>
        <v>0</v>
      </c>
      <c r="Q14" s="107">
        <f t="shared" si="4"/>
        <v>0</v>
      </c>
      <c r="R14" s="20">
        <f t="shared" si="5"/>
        <v>0</v>
      </c>
      <c r="S14" s="20">
        <f t="shared" si="6"/>
        <v>0</v>
      </c>
      <c r="T14" s="20">
        <f t="shared" si="7"/>
        <v>0</v>
      </c>
      <c r="U14" s="20">
        <f t="shared" si="8"/>
        <v>0</v>
      </c>
      <c r="V14" s="107">
        <f t="shared" si="9"/>
        <v>0</v>
      </c>
      <c r="W14">
        <f t="shared" si="10"/>
        <v>0</v>
      </c>
      <c r="X14" s="20">
        <f t="shared" si="11"/>
        <v>0</v>
      </c>
      <c r="Y14" s="20">
        <f t="shared" si="12"/>
        <v>0</v>
      </c>
      <c r="Z14" s="20">
        <f t="shared" si="13"/>
        <v>0</v>
      </c>
      <c r="AA14" s="107">
        <f t="shared" si="14"/>
        <v>0</v>
      </c>
    </row>
    <row r="15" spans="3:27" ht="12.75">
      <c r="C15" s="10" t="s">
        <v>9</v>
      </c>
      <c r="D15" s="5">
        <f>D14*D8</f>
        <v>16.05339794871795</v>
      </c>
      <c r="E15" s="8"/>
      <c r="F15" s="3"/>
      <c r="H15" s="137" t="s">
        <v>45</v>
      </c>
      <c r="I15" s="138"/>
      <c r="J15" s="138"/>
      <c r="K15" s="139">
        <v>0</v>
      </c>
      <c r="L15" s="140">
        <v>0</v>
      </c>
      <c r="M15">
        <f t="shared" si="0"/>
        <v>0</v>
      </c>
      <c r="N15" s="20">
        <f t="shared" si="1"/>
        <v>0</v>
      </c>
      <c r="O15" s="20">
        <f t="shared" si="2"/>
        <v>0</v>
      </c>
      <c r="P15" s="20">
        <f t="shared" si="3"/>
        <v>0</v>
      </c>
      <c r="Q15" s="108">
        <f t="shared" si="4"/>
        <v>0</v>
      </c>
      <c r="R15" s="20">
        <f t="shared" si="5"/>
        <v>0</v>
      </c>
      <c r="S15" s="20">
        <f t="shared" si="6"/>
        <v>0</v>
      </c>
      <c r="T15" s="20">
        <f t="shared" si="7"/>
        <v>0</v>
      </c>
      <c r="U15" s="20">
        <f t="shared" si="8"/>
        <v>0</v>
      </c>
      <c r="V15" s="108">
        <f t="shared" si="9"/>
        <v>0</v>
      </c>
      <c r="W15">
        <f t="shared" si="10"/>
        <v>0</v>
      </c>
      <c r="X15" s="20">
        <f t="shared" si="11"/>
        <v>0</v>
      </c>
      <c r="Y15" s="20">
        <f t="shared" si="12"/>
        <v>0</v>
      </c>
      <c r="Z15" s="20">
        <f t="shared" si="13"/>
        <v>0</v>
      </c>
      <c r="AA15" s="107">
        <f t="shared" si="14"/>
        <v>0</v>
      </c>
    </row>
    <row r="16" spans="3:27" ht="12.75" customHeight="1">
      <c r="C16" s="36" t="s">
        <v>11</v>
      </c>
      <c r="D16" s="37">
        <f>D14+D15</f>
        <v>245.38765435897437</v>
      </c>
      <c r="E16" s="49">
        <f>IF(D10&gt;45000,FIXED((D10*0.004/D6),2),)</f>
        <v>0</v>
      </c>
      <c r="F16" s="50">
        <f>D16+VALUE(E16)</f>
        <v>245.38765435897437</v>
      </c>
      <c r="J16" s="25" t="s">
        <v>51</v>
      </c>
      <c r="K16" s="71">
        <f>SUMIF($H$6:$H$15,"Y",K6:K15)</f>
        <v>0</v>
      </c>
      <c r="L16" s="68">
        <f>SUMIF($H$6:$H$15,"Y",L6:L15)</f>
        <v>0</v>
      </c>
      <c r="M16" s="13"/>
      <c r="N16" s="19"/>
      <c r="Q16" s="113">
        <f>SUMIF($H$6:$H$15,"Y",Q6:Q15)</f>
        <v>0</v>
      </c>
      <c r="R16" s="20"/>
      <c r="S16" s="20"/>
      <c r="T16" s="20"/>
      <c r="U16" s="20"/>
      <c r="V16" s="113">
        <f>SUMIF($H$6:$H$15,"Y",V6:V15)</f>
        <v>0</v>
      </c>
      <c r="AA16" s="113">
        <f>SUMIF($H$6:$H$15,"Y",AA6:AA15)</f>
        <v>0</v>
      </c>
    </row>
    <row r="17" spans="9:27" ht="12.75" customHeight="1">
      <c r="I17" s="95"/>
      <c r="J17" s="63" t="s">
        <v>14</v>
      </c>
      <c r="K17" s="72">
        <f>K4+K16</f>
        <v>20000</v>
      </c>
      <c r="L17" s="67">
        <f>L4+L16</f>
        <v>18000</v>
      </c>
      <c r="M17" s="13"/>
      <c r="N17" s="19"/>
      <c r="Q17" s="114">
        <f>Q4+Q16</f>
        <v>230.40710564102565</v>
      </c>
      <c r="R17" s="20"/>
      <c r="S17" s="20"/>
      <c r="T17" s="20"/>
      <c r="U17" s="20"/>
      <c r="V17" s="114">
        <f>V4+V16</f>
        <v>290.3293005128205</v>
      </c>
      <c r="AA17" s="114">
        <f>AA4+AA16</f>
        <v>245.38765435897437</v>
      </c>
    </row>
    <row r="18" spans="1:15" ht="12.75" customHeight="1">
      <c r="A18" s="13"/>
      <c r="C18" s="150" t="s">
        <v>69</v>
      </c>
      <c r="D18" s="151"/>
      <c r="E18" s="151"/>
      <c r="F18" s="152"/>
      <c r="N18" s="13"/>
      <c r="O18" s="19"/>
    </row>
    <row r="19" spans="3:9" ht="12.75">
      <c r="C19" s="9" t="s">
        <v>65</v>
      </c>
      <c r="D19" s="55">
        <f>(((D10*(1+D8)*(F19/2))*(D6/12))+D10*(1+D8))</f>
        <v>20727.839375</v>
      </c>
      <c r="E19" s="1" t="s">
        <v>66</v>
      </c>
      <c r="F19" s="129">
        <v>0.029</v>
      </c>
      <c r="I19" s="13"/>
    </row>
    <row r="20" spans="3:15" ht="12.75">
      <c r="C20" s="103" t="s">
        <v>68</v>
      </c>
      <c r="D20" s="100">
        <f>D19/D6</f>
        <v>531.4830608974358</v>
      </c>
      <c r="E20" s="101"/>
      <c r="F20" s="102"/>
      <c r="H20" s="155" t="s">
        <v>49</v>
      </c>
      <c r="I20" s="151"/>
      <c r="J20" s="151"/>
      <c r="K20" s="151"/>
      <c r="L20" s="152"/>
      <c r="N20" s="13"/>
      <c r="O20" s="19"/>
    </row>
    <row r="21" spans="3:15" ht="12.75">
      <c r="C21" s="54" t="s">
        <v>107</v>
      </c>
      <c r="D21" s="5">
        <f>D19-D9</f>
        <v>8327.839375</v>
      </c>
      <c r="E21" s="5">
        <f>D21/D6</f>
        <v>213.53434294871795</v>
      </c>
      <c r="F21" s="94" t="s">
        <v>106</v>
      </c>
      <c r="H21" s="2"/>
      <c r="I21" s="4" t="s">
        <v>18</v>
      </c>
      <c r="J21" s="27"/>
      <c r="K21" s="4"/>
      <c r="L21" s="141">
        <v>0</v>
      </c>
      <c r="N21" s="13"/>
      <c r="O21" s="19"/>
    </row>
    <row r="22" spans="3:15" ht="12.75">
      <c r="C22" s="11" t="s">
        <v>108</v>
      </c>
      <c r="D22" s="5">
        <f>D20-F16</f>
        <v>286.0954065384615</v>
      </c>
      <c r="E22" s="96" t="s">
        <v>109</v>
      </c>
      <c r="F22" s="130">
        <v>0.04</v>
      </c>
      <c r="H22" s="2"/>
      <c r="I22" s="4" t="s">
        <v>17</v>
      </c>
      <c r="J22" s="27"/>
      <c r="K22" s="4"/>
      <c r="L22" s="58">
        <f>D16</f>
        <v>245.38765435897437</v>
      </c>
      <c r="N22" s="13"/>
      <c r="O22" s="19"/>
    </row>
    <row r="23" spans="3:15" ht="12.75">
      <c r="C23" s="54" t="s">
        <v>110</v>
      </c>
      <c r="D23" s="5">
        <f>FV(F22/12,D6,-D22)</f>
        <v>11894.320176459954</v>
      </c>
      <c r="E23" s="4" t="str">
        <f>"After "&amp;D6&amp;" Months"</f>
        <v>After 39 Months</v>
      </c>
      <c r="F23" s="3"/>
      <c r="H23" s="2"/>
      <c r="I23" s="52" t="s">
        <v>19</v>
      </c>
      <c r="J23" s="47"/>
      <c r="K23" s="4"/>
      <c r="L23" s="142">
        <v>595</v>
      </c>
      <c r="N23" s="13"/>
      <c r="O23" s="19"/>
    </row>
    <row r="24" spans="3:15" ht="12.75">
      <c r="C24" s="86" t="s">
        <v>111</v>
      </c>
      <c r="D24" s="13">
        <f>D9</f>
        <v>12400</v>
      </c>
      <c r="E24" s="97">
        <f>D9-D23</f>
        <v>505.6798235400456</v>
      </c>
      <c r="F24" s="7" t="s">
        <v>104</v>
      </c>
      <c r="H24" s="2"/>
      <c r="I24" s="4" t="s">
        <v>20</v>
      </c>
      <c r="J24" s="47"/>
      <c r="K24" s="4"/>
      <c r="L24" s="142">
        <v>0</v>
      </c>
      <c r="N24" s="13"/>
      <c r="O24" s="19"/>
    </row>
    <row r="25" spans="3:15" ht="12.75">
      <c r="C25" s="144" t="s">
        <v>70</v>
      </c>
      <c r="D25" s="145"/>
      <c r="E25" s="145"/>
      <c r="F25" s="146"/>
      <c r="H25" s="2"/>
      <c r="I25" s="4" t="s">
        <v>15</v>
      </c>
      <c r="J25" s="47"/>
      <c r="K25" s="4"/>
      <c r="L25" s="142">
        <v>199</v>
      </c>
      <c r="N25" s="13"/>
      <c r="O25" s="19"/>
    </row>
    <row r="26" spans="3:15" ht="12.75">
      <c r="C26" s="85"/>
      <c r="D26" s="1"/>
      <c r="E26" s="87" t="s">
        <v>100</v>
      </c>
      <c r="F26" s="88" t="s">
        <v>102</v>
      </c>
      <c r="H26" s="2"/>
      <c r="I26" s="4" t="s">
        <v>21</v>
      </c>
      <c r="J26" s="47"/>
      <c r="K26" s="4"/>
      <c r="L26" s="142">
        <v>7.5</v>
      </c>
      <c r="N26" s="13"/>
      <c r="O26" s="19"/>
    </row>
    <row r="27" spans="3:15" ht="12.75">
      <c r="C27" s="11" t="s">
        <v>103</v>
      </c>
      <c r="D27" s="27">
        <f>F16*D6</f>
        <v>9570.11852</v>
      </c>
      <c r="E27" s="5">
        <f>D27*(D39/100)</f>
        <v>849.15422374997</v>
      </c>
      <c r="F27" s="131">
        <v>0.05</v>
      </c>
      <c r="H27" s="2"/>
      <c r="I27" s="4" t="s">
        <v>16</v>
      </c>
      <c r="J27" s="47"/>
      <c r="K27" s="4"/>
      <c r="L27" s="142">
        <v>253</v>
      </c>
      <c r="N27" s="13"/>
      <c r="O27" s="19"/>
    </row>
    <row r="28" spans="3:15" ht="12.75">
      <c r="C28" s="53" t="s">
        <v>67</v>
      </c>
      <c r="D28" s="5">
        <f>(D10*(1+D8))-D9</f>
        <v>7395</v>
      </c>
      <c r="E28" s="4"/>
      <c r="F28" s="3"/>
      <c r="H28" s="2"/>
      <c r="I28" s="4" t="s">
        <v>40</v>
      </c>
      <c r="J28" s="47"/>
      <c r="K28" s="4"/>
      <c r="L28" s="142"/>
      <c r="N28" s="13"/>
      <c r="O28" s="19"/>
    </row>
    <row r="29" spans="3:15" ht="12.75">
      <c r="C29" s="10" t="s">
        <v>10</v>
      </c>
      <c r="D29" s="27">
        <f>(D10*(1+D8))-D27</f>
        <v>10224.88148</v>
      </c>
      <c r="E29" s="5">
        <f>(D29*F29)*(D6/12)</f>
        <v>1661.5432405000001</v>
      </c>
      <c r="F29" s="131">
        <v>0.05</v>
      </c>
      <c r="H29" s="61"/>
      <c r="I29" s="56" t="s">
        <v>14</v>
      </c>
      <c r="J29" s="57"/>
      <c r="K29" s="57"/>
      <c r="L29" s="59">
        <f>SUM(L21:L28)</f>
        <v>1299.8876543589745</v>
      </c>
      <c r="N29" s="13"/>
      <c r="O29" s="19"/>
    </row>
    <row r="30" spans="3:15" ht="12.75">
      <c r="C30" s="11" t="s">
        <v>101</v>
      </c>
      <c r="D30" s="5">
        <f>D27-D28</f>
        <v>2175.11852</v>
      </c>
      <c r="E30" s="5">
        <f>E27+E29</f>
        <v>2510.69746424997</v>
      </c>
      <c r="F30" s="3"/>
      <c r="H30" s="62"/>
      <c r="I30" s="38" t="s">
        <v>41</v>
      </c>
      <c r="J30" s="37"/>
      <c r="K30" s="37"/>
      <c r="L30" s="60">
        <f>L29-L28</f>
        <v>1299.8876543589745</v>
      </c>
      <c r="N30" s="13"/>
      <c r="O30" s="19"/>
    </row>
    <row r="31" spans="3:15" ht="12.75">
      <c r="C31" s="89" t="s">
        <v>105</v>
      </c>
      <c r="D31" s="12">
        <f>D30-E30</f>
        <v>-335.57894424996994</v>
      </c>
      <c r="E31" s="6"/>
      <c r="F31" s="7"/>
      <c r="N31" s="13"/>
      <c r="O31" s="19"/>
    </row>
    <row r="32" spans="3:15" ht="12.75">
      <c r="C32" s="147" t="str">
        <f>"NOTE: Tax on purchase "&amp;TEXT(D10*D8,"$######")&amp;" - tax on lease "&amp;TEXT(D15*D6,"$######")&amp;" = "&amp;TEXT((D10*D8)-(D15*D6),"$######")&amp;" Tax Saving"</f>
        <v>NOTE: Tax on purchase $1295 - tax on lease $626 = $669 Tax Saving</v>
      </c>
      <c r="D32" s="148"/>
      <c r="E32" s="148"/>
      <c r="F32" s="149"/>
      <c r="H32" s="25" t="s">
        <v>29</v>
      </c>
      <c r="I32" s="16"/>
      <c r="J32" s="35" t="s">
        <v>53</v>
      </c>
      <c r="N32" s="13"/>
      <c r="O32" s="19"/>
    </row>
    <row r="33" spans="14:15" ht="6" customHeight="1">
      <c r="N33" s="13"/>
      <c r="O33" s="19"/>
    </row>
    <row r="34" ht="12.75">
      <c r="B34" s="45"/>
    </row>
    <row r="36" spans="14:15" ht="12.75">
      <c r="N36" s="13"/>
      <c r="O36" s="19"/>
    </row>
    <row r="37" spans="3:15" ht="12.75">
      <c r="C37" s="90"/>
      <c r="D37" s="91" t="s">
        <v>75</v>
      </c>
      <c r="E37" s="91" t="s">
        <v>76</v>
      </c>
      <c r="F37" s="91" t="s">
        <v>77</v>
      </c>
      <c r="N37" s="13"/>
      <c r="O37" s="19"/>
    </row>
    <row r="38" spans="3:15" ht="12.75">
      <c r="C38" s="90">
        <f>F27*100</f>
        <v>5</v>
      </c>
      <c r="D38" s="92">
        <f>0.000001*(C38^3)+0.00002*(C38^2)+(0.00003*C38)-0.00005</f>
        <v>0.0007250000000000001</v>
      </c>
      <c r="E38" s="92">
        <f>-0.00003*($C38^3)+0.0001*($C38^2)+(0.041*$C38)+0.0007</f>
        <v>0.20445000000000002</v>
      </c>
      <c r="F38" s="92">
        <f>-0.0001*($C38^3)+0.0008*($C38^2)+(0.0385*$C38)+0.0033</f>
        <v>0.2033</v>
      </c>
      <c r="N38" s="13"/>
      <c r="O38" s="19"/>
    </row>
    <row r="39" spans="3:15" ht="12.75">
      <c r="C39" s="93"/>
      <c r="D39" s="90">
        <f>D38*(D6^2)+E38*D6-F38</f>
        <v>8.872975</v>
      </c>
      <c r="E39" s="90"/>
      <c r="F39" s="90"/>
      <c r="N39" s="13"/>
      <c r="O39" s="19"/>
    </row>
    <row r="40" spans="14:15" ht="12.75">
      <c r="N40" s="13"/>
      <c r="O40" s="19"/>
    </row>
    <row r="41" spans="14:15" ht="12.75">
      <c r="N41" s="13"/>
      <c r="O41" s="19"/>
    </row>
    <row r="42" spans="14:15" ht="12.75">
      <c r="N42" s="13"/>
      <c r="O42" s="19"/>
    </row>
    <row r="43" spans="14:15" ht="12.75">
      <c r="N43" s="13"/>
      <c r="O43" s="19"/>
    </row>
    <row r="44" spans="14:15" ht="12.75">
      <c r="N44" s="13"/>
      <c r="O44" s="19"/>
    </row>
    <row r="45" spans="14:15" ht="12.75">
      <c r="N45" s="13"/>
      <c r="O45" s="19"/>
    </row>
    <row r="46" spans="14:15" ht="12.75">
      <c r="N46" s="13"/>
      <c r="O46" s="19"/>
    </row>
    <row r="47" spans="14:15" ht="12.75">
      <c r="N47" s="13"/>
      <c r="O47" s="19"/>
    </row>
    <row r="48" spans="14:15" ht="12.75">
      <c r="N48" s="13"/>
      <c r="O48" s="19"/>
    </row>
    <row r="49" spans="14:15" ht="12.75">
      <c r="N49" s="13"/>
      <c r="O49" s="19"/>
    </row>
    <row r="50" spans="14:15" ht="12.75">
      <c r="N50" s="13"/>
      <c r="O50" s="19"/>
    </row>
    <row r="51" spans="14:15" ht="12.75">
      <c r="N51" s="13"/>
      <c r="O51" s="19"/>
    </row>
  </sheetData>
  <sheetProtection password="8AE6" sheet="1" objects="1" scenarios="1"/>
  <mergeCells count="7">
    <mergeCell ref="C25:F25"/>
    <mergeCell ref="C32:F32"/>
    <mergeCell ref="C2:F2"/>
    <mergeCell ref="H3:J3"/>
    <mergeCell ref="H20:L20"/>
    <mergeCell ref="J2:L2"/>
    <mergeCell ref="C18:F18"/>
  </mergeCells>
  <printOptions/>
  <pageMargins left="0.75" right="0.75" top="1" bottom="1" header="0.5" footer="0.5"/>
  <pageSetup fitToHeight="1" fitToWidth="1" horizontalDpi="600" verticalDpi="600" orientation="landscape" scale="91" r:id="rId3"/>
  <legacyDrawing r:id="rId2"/>
</worksheet>
</file>

<file path=xl/worksheets/sheet6.xml><?xml version="1.0" encoding="utf-8"?>
<worksheet xmlns="http://schemas.openxmlformats.org/spreadsheetml/2006/main" xmlns:r="http://schemas.openxmlformats.org/officeDocument/2006/relationships">
  <dimension ref="B2:E19"/>
  <sheetViews>
    <sheetView workbookViewId="0" topLeftCell="A1">
      <selection activeCell="A1" sqref="A1"/>
    </sheetView>
  </sheetViews>
  <sheetFormatPr defaultColWidth="9.140625" defaultRowHeight="12.75"/>
  <cols>
    <col min="2" max="2" width="9.00390625" style="0" bestFit="1" customWidth="1"/>
    <col min="3" max="3" width="9.7109375" style="0" bestFit="1" customWidth="1"/>
  </cols>
  <sheetData>
    <row r="2" spans="2:3" ht="12.75">
      <c r="B2">
        <v>22283</v>
      </c>
      <c r="C2" t="s">
        <v>39</v>
      </c>
    </row>
    <row r="3" spans="2:3" ht="12.75">
      <c r="B3">
        <f>B2*1.07</f>
        <v>23842.81</v>
      </c>
      <c r="C3" t="s">
        <v>22</v>
      </c>
    </row>
    <row r="4" spans="2:3" ht="12.75">
      <c r="B4">
        <v>-500</v>
      </c>
      <c r="C4" t="s">
        <v>42</v>
      </c>
    </row>
    <row r="5" spans="2:3" ht="12.75">
      <c r="B5">
        <f>B3+B4</f>
        <v>23342.81</v>
      </c>
      <c r="C5" t="s">
        <v>43</v>
      </c>
    </row>
    <row r="7" spans="2:3" ht="12.75">
      <c r="B7">
        <f>478*3</f>
        <v>1434</v>
      </c>
      <c r="C7" t="s">
        <v>44</v>
      </c>
    </row>
    <row r="8" spans="2:3" ht="12.75">
      <c r="B8" s="13">
        <v>500</v>
      </c>
      <c r="C8" t="s">
        <v>42</v>
      </c>
    </row>
    <row r="9" spans="2:5" ht="12.75">
      <c r="B9" s="13">
        <f>B7-B8</f>
        <v>934</v>
      </c>
      <c r="C9" t="s">
        <v>43</v>
      </c>
      <c r="E9" s="42"/>
    </row>
    <row r="12" ht="12.75">
      <c r="B12" s="29" t="s">
        <v>72</v>
      </c>
    </row>
    <row r="14" ht="12.75">
      <c r="B14" s="74" t="s">
        <v>73</v>
      </c>
    </row>
    <row r="17" ht="12.75">
      <c r="B17" s="15" t="s">
        <v>81</v>
      </c>
    </row>
    <row r="19" spans="2:3" ht="12.75">
      <c r="B19" s="29" t="s">
        <v>119</v>
      </c>
      <c r="C19" t="s">
        <v>120</v>
      </c>
    </row>
  </sheetData>
  <hyperlinks>
    <hyperlink ref="B12" r:id="rId1" display="BlueBook"/>
    <hyperlink ref="B14"/>
    <hyperlink ref="B19" r:id="rId2" display="Car"/>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N154"/>
  <sheetViews>
    <sheetView zoomScale="75" zoomScaleNormal="75" workbookViewId="0" topLeftCell="A102">
      <selection activeCell="M134" sqref="M134"/>
    </sheetView>
  </sheetViews>
  <sheetFormatPr defaultColWidth="9.140625" defaultRowHeight="12.75"/>
  <cols>
    <col min="2" max="3" width="10.140625" style="0" bestFit="1" customWidth="1"/>
    <col min="8" max="8" width="10.140625" style="0" bestFit="1" customWidth="1"/>
    <col min="9" max="9" width="7.8515625" style="0" customWidth="1"/>
    <col min="10" max="13" width="12.00390625" style="0" bestFit="1" customWidth="1"/>
    <col min="14" max="14" width="9.57421875" style="0" bestFit="1" customWidth="1"/>
    <col min="15" max="15" width="12.00390625" style="0" bestFit="1" customWidth="1"/>
  </cols>
  <sheetData>
    <row r="1" spans="3:9" ht="12.75">
      <c r="C1" s="19">
        <f>B2/G4</f>
        <v>741.3559556666665</v>
      </c>
      <c r="I1" s="15" t="s">
        <v>74</v>
      </c>
    </row>
    <row r="2" spans="1:13" ht="12.75">
      <c r="A2">
        <v>1</v>
      </c>
      <c r="B2" s="39">
        <v>26688.814403999997</v>
      </c>
      <c r="C2" s="13">
        <f>B2-C1</f>
        <v>25947.45844833333</v>
      </c>
      <c r="D2" s="19">
        <f aca="true" t="shared" si="0" ref="D2:D33">C2*$G$3/12</f>
        <v>108.11441020138888</v>
      </c>
      <c r="E2" s="13">
        <f>C2+D2</f>
        <v>26055.57285853472</v>
      </c>
      <c r="H2">
        <v>39</v>
      </c>
      <c r="I2">
        <v>21057</v>
      </c>
      <c r="J2">
        <f>I2/H2</f>
        <v>539.9230769230769</v>
      </c>
      <c r="K2" s="75">
        <v>0.05</v>
      </c>
      <c r="L2">
        <v>1856.0694048460812</v>
      </c>
      <c r="M2">
        <f>L2/I2</f>
        <v>0.08814500664131078</v>
      </c>
    </row>
    <row r="3" spans="1:13" ht="12.75">
      <c r="A3">
        <v>2</v>
      </c>
      <c r="C3" s="13">
        <f aca="true" t="shared" si="1" ref="C3:C40">E2-$C$1</f>
        <v>25314.216902868055</v>
      </c>
      <c r="D3" s="19">
        <f t="shared" si="0"/>
        <v>105.47590376195024</v>
      </c>
      <c r="E3" s="13">
        <f>C3+D3</f>
        <v>25419.692806630006</v>
      </c>
      <c r="G3" s="75">
        <v>0.05</v>
      </c>
      <c r="H3">
        <v>39</v>
      </c>
      <c r="I3">
        <v>50000</v>
      </c>
      <c r="J3">
        <f>I3/H3</f>
        <v>1282.051282051282</v>
      </c>
      <c r="K3" s="75">
        <v>0.05</v>
      </c>
      <c r="L3">
        <v>4407.250332065564</v>
      </c>
      <c r="M3" s="77">
        <f>L3/I3</f>
        <v>0.08814500664131128</v>
      </c>
    </row>
    <row r="4" spans="1:13" ht="12.75">
      <c r="A4">
        <v>3</v>
      </c>
      <c r="C4" s="13">
        <f t="shared" si="1"/>
        <v>24678.33685096334</v>
      </c>
      <c r="D4" s="19">
        <f t="shared" si="0"/>
        <v>102.82640354568059</v>
      </c>
      <c r="E4" s="13">
        <f aca="true" t="shared" si="2" ref="E4:E40">C4+D4</f>
        <v>24781.16325450902</v>
      </c>
      <c r="G4">
        <v>36</v>
      </c>
      <c r="H4">
        <v>39</v>
      </c>
      <c r="I4">
        <v>100000</v>
      </c>
      <c r="J4">
        <f>I4/H4</f>
        <v>2564.102564102564</v>
      </c>
      <c r="K4" s="75">
        <v>0.05</v>
      </c>
      <c r="L4">
        <v>8814.500664131128</v>
      </c>
      <c r="M4">
        <f>L4/I4</f>
        <v>0.08814500664131128</v>
      </c>
    </row>
    <row r="5" spans="1:13" ht="12.75">
      <c r="A5">
        <v>4</v>
      </c>
      <c r="C5" s="13">
        <f t="shared" si="1"/>
        <v>24039.807298842356</v>
      </c>
      <c r="D5" s="19">
        <f t="shared" si="0"/>
        <v>100.16586374517648</v>
      </c>
      <c r="E5" s="13">
        <f t="shared" si="2"/>
        <v>24139.973162587532</v>
      </c>
      <c r="G5">
        <f>VLOOKUP(G4,$A$2:$E$61,5)</f>
        <v>2148.5923273602625</v>
      </c>
      <c r="H5">
        <v>39</v>
      </c>
      <c r="I5">
        <v>1000000</v>
      </c>
      <c r="J5">
        <f>I5/H5</f>
        <v>25641.02564102564</v>
      </c>
      <c r="K5" s="75">
        <v>0.05</v>
      </c>
      <c r="L5">
        <v>88145.00664131096</v>
      </c>
      <c r="M5">
        <f>L5/I5</f>
        <v>0.08814500664131096</v>
      </c>
    </row>
    <row r="6" spans="1:5" ht="12.75">
      <c r="A6">
        <v>5</v>
      </c>
      <c r="C6" s="13">
        <f t="shared" si="1"/>
        <v>23398.617206920866</v>
      </c>
      <c r="D6" s="19">
        <f t="shared" si="0"/>
        <v>97.49423836217028</v>
      </c>
      <c r="E6" s="13">
        <f t="shared" si="2"/>
        <v>23496.111445283037</v>
      </c>
    </row>
    <row r="7" spans="1:11" ht="12.75">
      <c r="A7">
        <v>6</v>
      </c>
      <c r="C7" s="13">
        <f t="shared" si="1"/>
        <v>22754.75548961637</v>
      </c>
      <c r="D7" s="19">
        <f t="shared" si="0"/>
        <v>94.81148120673488</v>
      </c>
      <c r="E7" s="13">
        <f t="shared" si="2"/>
        <v>22849.566970823107</v>
      </c>
      <c r="F7" s="13">
        <f>(E8-E7)/4</f>
        <v>-162.30960244254493</v>
      </c>
      <c r="G7" s="13">
        <f>E7+F7</f>
        <v>22687.25736838056</v>
      </c>
      <c r="K7" s="75"/>
    </row>
    <row r="8" spans="1:40" ht="12.75">
      <c r="A8">
        <v>7</v>
      </c>
      <c r="C8" s="13">
        <f t="shared" si="1"/>
        <v>22108.21101515644</v>
      </c>
      <c r="D8" s="19">
        <f t="shared" si="0"/>
        <v>92.11754589648518</v>
      </c>
      <c r="E8" s="13">
        <f t="shared" si="2"/>
        <v>22200.328561052927</v>
      </c>
      <c r="K8">
        <v>1</v>
      </c>
      <c r="L8">
        <v>1</v>
      </c>
      <c r="M8">
        <v>2</v>
      </c>
      <c r="N8">
        <v>2</v>
      </c>
      <c r="O8">
        <v>3</v>
      </c>
      <c r="P8">
        <v>3</v>
      </c>
      <c r="Q8">
        <v>4</v>
      </c>
      <c r="R8">
        <v>4</v>
      </c>
      <c r="S8">
        <v>5</v>
      </c>
      <c r="T8">
        <v>5</v>
      </c>
      <c r="U8">
        <v>6</v>
      </c>
      <c r="V8">
        <v>6</v>
      </c>
      <c r="W8">
        <v>7</v>
      </c>
      <c r="X8">
        <v>7</v>
      </c>
      <c r="Y8">
        <v>8</v>
      </c>
      <c r="Z8">
        <v>8</v>
      </c>
      <c r="AA8">
        <v>9</v>
      </c>
      <c r="AB8">
        <v>9</v>
      </c>
      <c r="AC8">
        <v>10</v>
      </c>
      <c r="AD8">
        <v>10</v>
      </c>
      <c r="AE8">
        <v>11</v>
      </c>
      <c r="AF8">
        <v>11</v>
      </c>
      <c r="AG8">
        <v>12</v>
      </c>
      <c r="AH8">
        <v>12</v>
      </c>
      <c r="AI8">
        <v>13</v>
      </c>
      <c r="AJ8">
        <v>13</v>
      </c>
      <c r="AK8">
        <v>14</v>
      </c>
      <c r="AL8">
        <v>14</v>
      </c>
      <c r="AM8">
        <v>15</v>
      </c>
      <c r="AN8">
        <v>15</v>
      </c>
    </row>
    <row r="9" spans="1:40" ht="12.75">
      <c r="A9">
        <v>8</v>
      </c>
      <c r="C9" s="13">
        <f t="shared" si="1"/>
        <v>21458.97260538626</v>
      </c>
      <c r="D9" s="19">
        <f t="shared" si="0"/>
        <v>89.4123858557761</v>
      </c>
      <c r="E9" s="13">
        <f t="shared" si="2"/>
        <v>21548.384991242037</v>
      </c>
      <c r="G9">
        <f aca="true" t="shared" si="3" ref="G9:G16">VLOOKUP(H9,$A$2:$E$61,5)</f>
        <v>25419.692806630006</v>
      </c>
      <c r="H9">
        <v>2</v>
      </c>
      <c r="I9">
        <v>50000</v>
      </c>
      <c r="J9">
        <f aca="true" t="shared" si="4" ref="J9:J16">I9/H9</f>
        <v>25000</v>
      </c>
      <c r="K9">
        <v>20.85069444444323</v>
      </c>
      <c r="L9">
        <f aca="true" t="shared" si="5" ref="L9:L16">(K9/$I9)*100</f>
        <v>0.04170138888888646</v>
      </c>
      <c r="M9">
        <v>41.73611111111233</v>
      </c>
      <c r="N9">
        <f aca="true" t="shared" si="6" ref="N9:N16">(M9/$I9)*100</f>
        <v>0.08347222222222465</v>
      </c>
      <c r="O9">
        <v>62.65625</v>
      </c>
      <c r="P9">
        <f aca="true" t="shared" si="7" ref="P9:P16">(O9/$I9)*100</f>
        <v>0.1253125</v>
      </c>
      <c r="Q9">
        <v>83.61111111110989</v>
      </c>
      <c r="R9">
        <f aca="true" t="shared" si="8" ref="R9:R16">(Q9/$I9)*100</f>
        <v>0.16722222222221977</v>
      </c>
      <c r="S9">
        <v>104.60069444444566</v>
      </c>
      <c r="T9">
        <f aca="true" t="shared" si="9" ref="T9:T16">(S9/$I9)*100</f>
        <v>0.2092013888888913</v>
      </c>
      <c r="U9">
        <v>125.625</v>
      </c>
      <c r="V9">
        <f aca="true" t="shared" si="10" ref="V9:V16">(U9/$I9)*100</f>
        <v>0.25125</v>
      </c>
      <c r="W9">
        <v>146.68402777777655</v>
      </c>
      <c r="X9">
        <f aca="true" t="shared" si="11" ref="X9:X16">(W9/$I9)*100</f>
        <v>0.2933680555555531</v>
      </c>
      <c r="Y9">
        <v>167.777777777779</v>
      </c>
      <c r="Z9">
        <f aca="true" t="shared" si="12" ref="Z9:Z16">(Y9/$I9)*100</f>
        <v>0.335555555555558</v>
      </c>
      <c r="AA9">
        <v>188.90625</v>
      </c>
      <c r="AB9">
        <f aca="true" t="shared" si="13" ref="AB9:AB16">(AA9/$I9)*100</f>
        <v>0.3778125</v>
      </c>
      <c r="AC9">
        <v>210.06944444444323</v>
      </c>
      <c r="AD9">
        <f aca="true" t="shared" si="14" ref="AD9:AD16">(AC9/$I9)*100</f>
        <v>0.42013888888888645</v>
      </c>
      <c r="AE9">
        <v>231.26736111111234</v>
      </c>
      <c r="AF9">
        <f aca="true" t="shared" si="15" ref="AF9:AF16">(AE9/$I9)*100</f>
        <v>0.4625347222222247</v>
      </c>
      <c r="AG9">
        <v>252.5</v>
      </c>
      <c r="AH9">
        <f aca="true" t="shared" si="16" ref="AH9:AH16">(AG9/$I9)*100</f>
        <v>0.505</v>
      </c>
      <c r="AI9">
        <v>273.7673611111099</v>
      </c>
      <c r="AJ9">
        <f aca="true" t="shared" si="17" ref="AJ9:AJ16">(AI9/$I9)*100</f>
        <v>0.5475347222222198</v>
      </c>
      <c r="AK9">
        <v>295.06944444444565</v>
      </c>
      <c r="AL9">
        <f aca="true" t="shared" si="18" ref="AL9:AL16">(AK9/$I9)*100</f>
        <v>0.5901388888888912</v>
      </c>
      <c r="AM9">
        <v>316.40625</v>
      </c>
      <c r="AN9">
        <f aca="true" t="shared" si="19" ref="AN9:AN16">(AM9/$I9)*100</f>
        <v>0.6328125</v>
      </c>
    </row>
    <row r="10" spans="1:40" ht="12.75">
      <c r="A10">
        <v>9</v>
      </c>
      <c r="C10" s="13">
        <f t="shared" si="1"/>
        <v>20807.02903557537</v>
      </c>
      <c r="D10" s="19">
        <f t="shared" si="0"/>
        <v>86.69595431489739</v>
      </c>
      <c r="E10" s="13">
        <f t="shared" si="2"/>
        <v>20893.72498989027</v>
      </c>
      <c r="G10">
        <f t="shared" si="3"/>
        <v>18913.332975944308</v>
      </c>
      <c r="H10">
        <v>12</v>
      </c>
      <c r="I10">
        <v>50000</v>
      </c>
      <c r="J10">
        <f t="shared" si="4"/>
        <v>4166.666666666667</v>
      </c>
      <c r="K10">
        <v>230.6354380857378</v>
      </c>
      <c r="L10">
        <f t="shared" si="5"/>
        <v>0.46127087617147566</v>
      </c>
      <c r="M10">
        <v>464.2270983155271</v>
      </c>
      <c r="N10">
        <f t="shared" si="6"/>
        <v>0.9284541966310542</v>
      </c>
      <c r="O10">
        <v>700.8031693568953</v>
      </c>
      <c r="P10">
        <f t="shared" si="7"/>
        <v>1.4016063387137905</v>
      </c>
      <c r="Q10">
        <v>940.3920674199868</v>
      </c>
      <c r="R10">
        <f t="shared" si="8"/>
        <v>1.8807841348399734</v>
      </c>
      <c r="S10">
        <v>1183.022437846244</v>
      </c>
      <c r="T10">
        <f t="shared" si="9"/>
        <v>2.366044875692488</v>
      </c>
      <c r="U10">
        <v>1428.7231567065835</v>
      </c>
      <c r="V10">
        <f t="shared" si="10"/>
        <v>2.857446313413167</v>
      </c>
      <c r="W10">
        <v>1677.5233324091312</v>
      </c>
      <c r="X10">
        <f t="shared" si="11"/>
        <v>3.355046664818263</v>
      </c>
      <c r="Y10">
        <v>1929.4523073166972</v>
      </c>
      <c r="Z10">
        <f t="shared" si="12"/>
        <v>3.8589046146333947</v>
      </c>
      <c r="AA10">
        <v>2184.5396593739065</v>
      </c>
      <c r="AB10">
        <f t="shared" si="13"/>
        <v>4.369079318747813</v>
      </c>
      <c r="AC10">
        <v>2442.8152037441746</v>
      </c>
      <c r="AD10">
        <f t="shared" si="14"/>
        <v>4.885630407488349</v>
      </c>
      <c r="AE10">
        <v>2704.3089944563194</v>
      </c>
      <c r="AF10">
        <f t="shared" si="15"/>
        <v>5.4086179889126385</v>
      </c>
      <c r="AG10">
        <v>2969.0513260612383</v>
      </c>
      <c r="AH10">
        <f t="shared" si="16"/>
        <v>5.938102652122477</v>
      </c>
      <c r="AI10">
        <v>3237.0727352983154</v>
      </c>
      <c r="AJ10">
        <f t="shared" si="17"/>
        <v>6.47414547059663</v>
      </c>
      <c r="AK10">
        <v>3508.4040027719275</v>
      </c>
      <c r="AL10">
        <f t="shared" si="18"/>
        <v>7.016808005543855</v>
      </c>
      <c r="AM10">
        <v>3783.0761546378653</v>
      </c>
      <c r="AN10">
        <f t="shared" si="19"/>
        <v>7.566152309275731</v>
      </c>
    </row>
    <row r="11" spans="1:40" ht="12.75">
      <c r="A11">
        <v>10</v>
      </c>
      <c r="C11" s="13">
        <f t="shared" si="1"/>
        <v>20152.369034223604</v>
      </c>
      <c r="D11" s="19">
        <f t="shared" si="0"/>
        <v>83.96820430926502</v>
      </c>
      <c r="E11" s="13">
        <f t="shared" si="2"/>
        <v>20236.33723853287</v>
      </c>
      <c r="G11">
        <f t="shared" si="3"/>
        <v>10740.043161085105</v>
      </c>
      <c r="H11">
        <v>24</v>
      </c>
      <c r="I11">
        <v>50000</v>
      </c>
      <c r="J11">
        <f t="shared" si="4"/>
        <v>2083.3333333333335</v>
      </c>
      <c r="K11">
        <v>485.4659708140463</v>
      </c>
      <c r="L11">
        <f t="shared" si="5"/>
        <v>0.9709319416280926</v>
      </c>
      <c r="M11">
        <v>983.7062581446615</v>
      </c>
      <c r="N11">
        <f t="shared" si="6"/>
        <v>1.967412516289323</v>
      </c>
      <c r="O11">
        <v>1494.9881525706598</v>
      </c>
      <c r="P11">
        <f t="shared" si="7"/>
        <v>2.9899763051413197</v>
      </c>
      <c r="Q11">
        <v>2019.5839852899373</v>
      </c>
      <c r="R11">
        <f t="shared" si="8"/>
        <v>4.039167970579874</v>
      </c>
      <c r="S11">
        <v>2557.7712163395404</v>
      </c>
      <c r="T11">
        <f t="shared" si="9"/>
        <v>5.115542432679081</v>
      </c>
      <c r="U11">
        <v>3109.8325242617757</v>
      </c>
      <c r="V11">
        <f t="shared" si="10"/>
        <v>6.219665048523551</v>
      </c>
      <c r="W11">
        <v>3676.0558972390727</v>
      </c>
      <c r="X11">
        <f t="shared" si="11"/>
        <v>7.352111794478146</v>
      </c>
      <c r="Y11">
        <v>4256.734725719651</v>
      </c>
      <c r="Z11">
        <f t="shared" si="12"/>
        <v>8.5134694514393</v>
      </c>
      <c r="AA11">
        <v>4852.167896557383</v>
      </c>
      <c r="AB11">
        <f t="shared" si="13"/>
        <v>9.704335793114765</v>
      </c>
      <c r="AC11">
        <v>5462.659888688858</v>
      </c>
      <c r="AD11">
        <f t="shared" si="14"/>
        <v>10.925319777377714</v>
      </c>
      <c r="AE11">
        <v>6088.520870371372</v>
      </c>
      <c r="AF11">
        <f t="shared" si="15"/>
        <v>12.177041740742744</v>
      </c>
      <c r="AG11">
        <v>6730.066798005355</v>
      </c>
      <c r="AH11">
        <f t="shared" si="16"/>
        <v>13.46013359601071</v>
      </c>
      <c r="AI11">
        <v>7387.619516566314</v>
      </c>
      <c r="AJ11">
        <f t="shared" si="17"/>
        <v>14.775239033132628</v>
      </c>
      <c r="AK11">
        <v>8061.506861669878</v>
      </c>
      <c r="AL11">
        <f t="shared" si="18"/>
        <v>16.123013723339756</v>
      </c>
      <c r="AM11">
        <v>8752.062763295773</v>
      </c>
      <c r="AN11">
        <f t="shared" si="19"/>
        <v>17.504125526591547</v>
      </c>
    </row>
    <row r="12" spans="1:40" ht="12.75">
      <c r="A12">
        <v>11</v>
      </c>
      <c r="C12" s="13">
        <f t="shared" si="1"/>
        <v>19494.981282866203</v>
      </c>
      <c r="D12" s="19">
        <f t="shared" si="0"/>
        <v>81.22908867860919</v>
      </c>
      <c r="E12" s="13">
        <f t="shared" si="2"/>
        <v>19576.210371544814</v>
      </c>
      <c r="G12">
        <f t="shared" si="3"/>
        <v>2148.5923273602625</v>
      </c>
      <c r="H12">
        <v>36</v>
      </c>
      <c r="I12">
        <v>50000</v>
      </c>
      <c r="J12">
        <f t="shared" si="4"/>
        <v>1388.888888888889</v>
      </c>
      <c r="K12">
        <v>743.7021016168142</v>
      </c>
      <c r="L12">
        <f t="shared" si="5"/>
        <v>1.4874042032336283</v>
      </c>
      <c r="M12">
        <v>1517.1028441709138</v>
      </c>
      <c r="N12">
        <f t="shared" si="6"/>
        <v>3.0342056883418276</v>
      </c>
      <c r="O12">
        <v>2321.164885978509</v>
      </c>
      <c r="P12">
        <f t="shared" si="7"/>
        <v>4.6423297719570185</v>
      </c>
      <c r="Q12">
        <v>3156.8795177131465</v>
      </c>
      <c r="R12">
        <f t="shared" si="8"/>
        <v>6.313759035426293</v>
      </c>
      <c r="S12">
        <v>4025.2674675541225</v>
      </c>
      <c r="T12">
        <f t="shared" si="9"/>
        <v>8.050534935108244</v>
      </c>
      <c r="U12">
        <v>4927.379727966339</v>
      </c>
      <c r="V12">
        <f t="shared" si="10"/>
        <v>9.854759455932676</v>
      </c>
      <c r="W12">
        <v>5864.298404669547</v>
      </c>
      <c r="X12">
        <f t="shared" si="11"/>
        <v>11.728596809339095</v>
      </c>
      <c r="Y12">
        <v>6837.137588367768</v>
      </c>
      <c r="Z12">
        <f t="shared" si="12"/>
        <v>13.674275176735536</v>
      </c>
      <c r="AA12">
        <v>7847.044249825211</v>
      </c>
      <c r="AB12">
        <f t="shared" si="13"/>
        <v>15.694088499650421</v>
      </c>
      <c r="AC12">
        <v>8895.199158888212</v>
      </c>
      <c r="AD12">
        <f t="shared" si="14"/>
        <v>17.790398317776422</v>
      </c>
      <c r="AE12">
        <v>9982.817828068173</v>
      </c>
      <c r="AF12">
        <f t="shared" si="15"/>
        <v>19.965635656136346</v>
      </c>
      <c r="AG12">
        <v>11111.151481315612</v>
      </c>
      <c r="AH12">
        <f t="shared" si="16"/>
        <v>22.222302962631225</v>
      </c>
      <c r="AI12">
        <v>12281.488048630861</v>
      </c>
      <c r="AJ12">
        <f t="shared" si="17"/>
        <v>24.56297609726172</v>
      </c>
      <c r="AK12">
        <v>13495.153187173</v>
      </c>
      <c r="AL12">
        <f t="shared" si="18"/>
        <v>26.990306374346</v>
      </c>
      <c r="AM12">
        <v>14753.511329544543</v>
      </c>
      <c r="AN12">
        <f t="shared" si="19"/>
        <v>29.50702265908908</v>
      </c>
    </row>
    <row r="13" spans="1:40" ht="12.75">
      <c r="A13">
        <v>12</v>
      </c>
      <c r="C13" s="13">
        <f t="shared" si="1"/>
        <v>18834.854415878148</v>
      </c>
      <c r="D13" s="19">
        <f t="shared" si="0"/>
        <v>78.47856006615895</v>
      </c>
      <c r="E13" s="13">
        <f t="shared" si="2"/>
        <v>18913.332975944308</v>
      </c>
      <c r="F13">
        <f>E13/B2</f>
        <v>0.7086614148401311</v>
      </c>
      <c r="G13">
        <f t="shared" si="3"/>
        <v>-67.09150984488139</v>
      </c>
      <c r="H13">
        <v>39</v>
      </c>
      <c r="I13">
        <v>50000</v>
      </c>
      <c r="J13">
        <f t="shared" si="4"/>
        <v>1282.051282051282</v>
      </c>
      <c r="K13">
        <v>808.7977570101106</v>
      </c>
      <c r="L13">
        <f t="shared" si="5"/>
        <v>1.617595514020221</v>
      </c>
      <c r="M13">
        <v>1652.6634191200478</v>
      </c>
      <c r="N13">
        <f t="shared" si="6"/>
        <v>3.3053268382400955</v>
      </c>
      <c r="O13">
        <v>2532.835006428034</v>
      </c>
      <c r="P13">
        <f t="shared" si="7"/>
        <v>5.065670012856068</v>
      </c>
      <c r="Q13">
        <v>3450.5907504110405</v>
      </c>
      <c r="R13">
        <f t="shared" si="8"/>
        <v>6.901181500822082</v>
      </c>
      <c r="S13">
        <v>4407.250332065564</v>
      </c>
      <c r="T13">
        <f t="shared" si="9"/>
        <v>8.814500664131128</v>
      </c>
      <c r="U13">
        <v>5404.176156574314</v>
      </c>
      <c r="V13">
        <f t="shared" si="10"/>
        <v>10.808352313148626</v>
      </c>
      <c r="W13">
        <v>6442.774665535593</v>
      </c>
      <c r="X13">
        <f t="shared" si="11"/>
        <v>12.885549331071186</v>
      </c>
      <c r="Y13">
        <v>7524.497687821246</v>
      </c>
      <c r="Z13">
        <f t="shared" si="12"/>
        <v>15.048995375642491</v>
      </c>
      <c r="AA13">
        <v>8650.843830156708</v>
      </c>
      <c r="AB13">
        <f t="shared" si="13"/>
        <v>17.301687660313412</v>
      </c>
      <c r="AC13">
        <v>9823.35990854844</v>
      </c>
      <c r="AD13">
        <f t="shared" si="14"/>
        <v>19.64671981709688</v>
      </c>
      <c r="AE13">
        <v>11043.64242171314</v>
      </c>
      <c r="AF13">
        <f t="shared" si="15"/>
        <v>22.087284843426282</v>
      </c>
      <c r="AG13">
        <v>12313.339067695264</v>
      </c>
      <c r="AH13">
        <f t="shared" si="16"/>
        <v>24.626678135390527</v>
      </c>
      <c r="AI13">
        <v>13634.15030489217</v>
      </c>
      <c r="AJ13">
        <f t="shared" si="17"/>
        <v>27.26830060978434</v>
      </c>
      <c r="AK13">
        <v>15007.830958738241</v>
      </c>
      <c r="AL13">
        <f t="shared" si="18"/>
        <v>30.015661917476482</v>
      </c>
      <c r="AM13">
        <v>16436.191875334564</v>
      </c>
      <c r="AN13">
        <f t="shared" si="19"/>
        <v>32.87238375066913</v>
      </c>
    </row>
    <row r="14" spans="1:40" ht="12.75">
      <c r="A14">
        <v>13</v>
      </c>
      <c r="C14" s="13">
        <f t="shared" si="1"/>
        <v>18171.97702027764</v>
      </c>
      <c r="D14" s="19">
        <f t="shared" si="0"/>
        <v>75.71657091782352</v>
      </c>
      <c r="E14" s="13">
        <f t="shared" si="2"/>
        <v>18247.693591195464</v>
      </c>
      <c r="G14">
        <f t="shared" si="3"/>
        <v>-2310.5869554929996</v>
      </c>
      <c r="H14">
        <v>42</v>
      </c>
      <c r="I14">
        <v>50000</v>
      </c>
      <c r="J14">
        <f t="shared" si="4"/>
        <v>1190.4761904761904</v>
      </c>
      <c r="K14">
        <v>874.1092689537776</v>
      </c>
      <c r="L14">
        <f t="shared" si="5"/>
        <v>1.7482185379075552</v>
      </c>
      <c r="M14">
        <v>1789.1185182898748</v>
      </c>
      <c r="N14">
        <f t="shared" si="6"/>
        <v>3.5782370365797496</v>
      </c>
      <c r="O14">
        <v>2746.590110315972</v>
      </c>
      <c r="P14">
        <f t="shared" si="7"/>
        <v>5.493180220631944</v>
      </c>
      <c r="Q14">
        <v>3748.141440496651</v>
      </c>
      <c r="R14">
        <f t="shared" si="8"/>
        <v>7.496282880993302</v>
      </c>
      <c r="S14">
        <v>4795.44677929413</v>
      </c>
      <c r="T14">
        <f t="shared" si="9"/>
        <v>9.59089355858826</v>
      </c>
      <c r="U14">
        <v>5890.2391732082015</v>
      </c>
      <c r="V14">
        <f t="shared" si="10"/>
        <v>11.780478346416402</v>
      </c>
      <c r="W14">
        <v>7034.3124068508205</v>
      </c>
      <c r="X14">
        <f t="shared" si="11"/>
        <v>14.068624813701641</v>
      </c>
      <c r="Y14">
        <v>8229.523027945355</v>
      </c>
      <c r="Z14">
        <f t="shared" si="12"/>
        <v>16.45904605589071</v>
      </c>
      <c r="AA14">
        <v>9477.792437198306</v>
      </c>
      <c r="AB14">
        <f t="shared" si="13"/>
        <v>18.955584874396614</v>
      </c>
      <c r="AC14">
        <v>10781.109045048574</v>
      </c>
      <c r="AD14">
        <f t="shared" si="14"/>
        <v>21.562218090097147</v>
      </c>
      <c r="AE14">
        <v>12141.530497359634</v>
      </c>
      <c r="AF14">
        <f t="shared" si="15"/>
        <v>24.283060994719268</v>
      </c>
      <c r="AG14">
        <v>13561.185972181764</v>
      </c>
      <c r="AH14">
        <f t="shared" si="16"/>
        <v>27.122371944363525</v>
      </c>
      <c r="AI14">
        <v>15042.278549774639</v>
      </c>
      <c r="AJ14">
        <f t="shared" si="17"/>
        <v>30.08455709954928</v>
      </c>
      <c r="AK14">
        <v>16587.087658146036</v>
      </c>
      <c r="AL14">
        <f t="shared" si="18"/>
        <v>33.17417531629207</v>
      </c>
      <c r="AM14">
        <v>18197.971596429772</v>
      </c>
      <c r="AN14">
        <f t="shared" si="19"/>
        <v>36.39594319285954</v>
      </c>
    </row>
    <row r="15" spans="1:40" ht="12.75">
      <c r="A15">
        <v>14</v>
      </c>
      <c r="C15" s="13">
        <f t="shared" si="1"/>
        <v>17506.3376355288</v>
      </c>
      <c r="D15" s="19">
        <f t="shared" si="0"/>
        <v>72.94307348136999</v>
      </c>
      <c r="E15" s="13">
        <f t="shared" si="2"/>
        <v>17579.280709010167</v>
      </c>
      <c r="G15">
        <f t="shared" si="3"/>
        <v>-11569.73279453448</v>
      </c>
      <c r="H15">
        <v>54</v>
      </c>
      <c r="I15">
        <v>50000</v>
      </c>
      <c r="J15">
        <f t="shared" si="4"/>
        <v>925.925925925926</v>
      </c>
      <c r="K15">
        <v>1137.5260376390636</v>
      </c>
      <c r="L15">
        <f t="shared" si="5"/>
        <v>2.275052075278127</v>
      </c>
      <c r="M15">
        <v>2343.9850183769167</v>
      </c>
      <c r="N15">
        <f t="shared" si="6"/>
        <v>4.687970036753834</v>
      </c>
      <c r="O15">
        <v>3622.8134128475144</v>
      </c>
      <c r="P15">
        <f t="shared" si="7"/>
        <v>7.2456268256950285</v>
      </c>
      <c r="Q15">
        <v>4977.606683751877</v>
      </c>
      <c r="R15">
        <f t="shared" si="8"/>
        <v>9.955213367503756</v>
      </c>
      <c r="S15">
        <v>6412.126319839878</v>
      </c>
      <c r="T15">
        <f t="shared" si="9"/>
        <v>12.824252639679756</v>
      </c>
      <c r="U15">
        <v>7930.307170719859</v>
      </c>
      <c r="V15">
        <f t="shared" si="10"/>
        <v>15.86061434143972</v>
      </c>
      <c r="W15">
        <v>9536.26509499444</v>
      </c>
      <c r="X15">
        <f t="shared" si="11"/>
        <v>19.07253018998888</v>
      </c>
      <c r="Y15">
        <v>11234.304934723372</v>
      </c>
      <c r="Z15">
        <f t="shared" si="12"/>
        <v>22.468609869446745</v>
      </c>
      <c r="AA15">
        <v>13028.928829742179</v>
      </c>
      <c r="AB15">
        <f t="shared" si="13"/>
        <v>26.057857659484355</v>
      </c>
      <c r="AC15">
        <v>14924.844885909366</v>
      </c>
      <c r="AD15">
        <f t="shared" si="14"/>
        <v>29.84968977181873</v>
      </c>
      <c r="AE15">
        <v>16926.976211923255</v>
      </c>
      <c r="AF15">
        <f t="shared" si="15"/>
        <v>33.853952423846515</v>
      </c>
      <c r="AG15">
        <v>19040.47033994026</v>
      </c>
      <c r="AH15">
        <f t="shared" si="16"/>
        <v>38.08094067988052</v>
      </c>
      <c r="AI15">
        <v>21270.709045836975</v>
      </c>
      <c r="AJ15">
        <f t="shared" si="17"/>
        <v>42.54141809167395</v>
      </c>
      <c r="AK15">
        <v>23623.318585597903</v>
      </c>
      <c r="AL15">
        <f t="shared" si="18"/>
        <v>47.24663717119581</v>
      </c>
      <c r="AM15">
        <v>26104.180364971533</v>
      </c>
      <c r="AN15">
        <f t="shared" si="19"/>
        <v>52.208360729943074</v>
      </c>
    </row>
    <row r="16" spans="1:40" ht="12.75">
      <c r="A16">
        <v>15</v>
      </c>
      <c r="C16" s="13">
        <f t="shared" si="1"/>
        <v>16837.9247533435</v>
      </c>
      <c r="D16" s="19">
        <f t="shared" si="0"/>
        <v>70.15801980559793</v>
      </c>
      <c r="E16" s="13">
        <f t="shared" si="2"/>
        <v>16908.082773149097</v>
      </c>
      <c r="G16">
        <f t="shared" si="3"/>
        <v>-16375.462595175166</v>
      </c>
      <c r="H16">
        <v>60</v>
      </c>
      <c r="I16">
        <v>50000</v>
      </c>
      <c r="J16">
        <f t="shared" si="4"/>
        <v>833.3333333333334</v>
      </c>
      <c r="K16">
        <v>1270.545408770659</v>
      </c>
      <c r="L16">
        <f t="shared" si="5"/>
        <v>2.541090817541318</v>
      </c>
      <c r="M16">
        <v>2626.9172890221766</v>
      </c>
      <c r="N16">
        <f t="shared" si="6"/>
        <v>5.253834578044354</v>
      </c>
      <c r="O16">
        <v>4073.8979080429003</v>
      </c>
      <c r="P16">
        <f t="shared" si="7"/>
        <v>8.1477958160858</v>
      </c>
      <c r="Q16">
        <v>5616.5173832917</v>
      </c>
      <c r="R16">
        <f t="shared" si="8"/>
        <v>11.2330347665834</v>
      </c>
      <c r="S16">
        <v>7260.06599238676</v>
      </c>
      <c r="T16">
        <f t="shared" si="9"/>
        <v>14.520131984773519</v>
      </c>
      <c r="U16">
        <v>9010.107075455304</v>
      </c>
      <c r="V16">
        <f t="shared" si="10"/>
        <v>18.020214150910608</v>
      </c>
      <c r="W16">
        <v>10872.490557594165</v>
      </c>
      <c r="X16">
        <f t="shared" si="11"/>
        <v>21.74498111518833</v>
      </c>
      <c r="Y16">
        <v>12853.367120461124</v>
      </c>
      <c r="Z16">
        <f t="shared" si="12"/>
        <v>25.706734240922245</v>
      </c>
      <c r="AA16">
        <v>14959.203053341891</v>
      </c>
      <c r="AB16">
        <f t="shared" si="13"/>
        <v>29.918406106683783</v>
      </c>
      <c r="AC16">
        <v>17196.795815421625</v>
      </c>
      <c r="AD16">
        <f t="shared" si="14"/>
        <v>34.393591630843254</v>
      </c>
      <c r="AE16">
        <v>19573.290342436947</v>
      </c>
      <c r="AF16">
        <f t="shared" si="15"/>
        <v>39.146580684873896</v>
      </c>
      <c r="AG16">
        <v>22096.196132393445</v>
      </c>
      <c r="AH16">
        <f t="shared" si="16"/>
        <v>44.19239226478689</v>
      </c>
      <c r="AI16">
        <v>24773.405146614812</v>
      </c>
      <c r="AJ16">
        <f t="shared" si="17"/>
        <v>49.546810293229626</v>
      </c>
      <c r="AK16">
        <v>27613.210564032765</v>
      </c>
      <c r="AL16">
        <f t="shared" si="18"/>
        <v>55.226421128065525</v>
      </c>
      <c r="AM16">
        <v>30624.326428353103</v>
      </c>
      <c r="AN16">
        <f t="shared" si="19"/>
        <v>61.24865285670621</v>
      </c>
    </row>
    <row r="17" spans="1:5" ht="12.75">
      <c r="A17">
        <v>16</v>
      </c>
      <c r="C17" s="13">
        <f t="shared" si="1"/>
        <v>16166.726817482431</v>
      </c>
      <c r="D17" s="19">
        <f t="shared" si="0"/>
        <v>67.36136173951013</v>
      </c>
      <c r="E17" s="13">
        <f t="shared" si="2"/>
        <v>16234.08817922194</v>
      </c>
    </row>
    <row r="18" spans="1:5" ht="12.75">
      <c r="A18">
        <v>17</v>
      </c>
      <c r="C18" s="13">
        <f t="shared" si="1"/>
        <v>15492.732223555275</v>
      </c>
      <c r="D18" s="19">
        <f t="shared" si="0"/>
        <v>64.55305093148031</v>
      </c>
      <c r="E18" s="13">
        <f t="shared" si="2"/>
        <v>15557.285274486754</v>
      </c>
    </row>
    <row r="19" spans="1:11" ht="12.75">
      <c r="A19">
        <v>18</v>
      </c>
      <c r="C19" s="13">
        <f t="shared" si="1"/>
        <v>14815.929318820088</v>
      </c>
      <c r="D19" s="19">
        <f t="shared" si="0"/>
        <v>61.733038828417044</v>
      </c>
      <c r="E19" s="13">
        <f t="shared" si="2"/>
        <v>14877.662357648505</v>
      </c>
      <c r="K19" s="75"/>
    </row>
    <row r="20" spans="1:23" ht="12.75">
      <c r="A20">
        <v>19</v>
      </c>
      <c r="C20" s="13">
        <f t="shared" si="1"/>
        <v>14136.30640198184</v>
      </c>
      <c r="D20" s="19">
        <f t="shared" si="0"/>
        <v>58.90127667492433</v>
      </c>
      <c r="E20" s="13">
        <f t="shared" si="2"/>
        <v>14195.207678656763</v>
      </c>
      <c r="I20">
        <v>15</v>
      </c>
      <c r="J20">
        <v>14</v>
      </c>
      <c r="K20">
        <v>13</v>
      </c>
      <c r="L20">
        <v>12</v>
      </c>
      <c r="M20">
        <v>11</v>
      </c>
      <c r="N20">
        <v>10</v>
      </c>
      <c r="O20">
        <v>9</v>
      </c>
      <c r="P20">
        <v>8</v>
      </c>
      <c r="Q20">
        <v>7</v>
      </c>
      <c r="R20">
        <v>6</v>
      </c>
      <c r="S20">
        <v>5</v>
      </c>
      <c r="T20">
        <v>4</v>
      </c>
      <c r="U20">
        <v>3</v>
      </c>
      <c r="V20">
        <v>2</v>
      </c>
      <c r="W20">
        <v>1</v>
      </c>
    </row>
    <row r="21" spans="1:23" ht="12.75">
      <c r="A21">
        <v>20</v>
      </c>
      <c r="C21" s="13">
        <f t="shared" si="1"/>
        <v>13453.851722990097</v>
      </c>
      <c r="D21" s="19">
        <f t="shared" si="0"/>
        <v>56.05771551245874</v>
      </c>
      <c r="E21" s="13">
        <f t="shared" si="2"/>
        <v>13509.909438502556</v>
      </c>
      <c r="H21">
        <v>2</v>
      </c>
      <c r="I21">
        <v>0.6328125</v>
      </c>
      <c r="J21">
        <v>0.5901388888888912</v>
      </c>
      <c r="K21">
        <v>0.5475347222222198</v>
      </c>
      <c r="L21">
        <v>0.505</v>
      </c>
      <c r="M21">
        <v>0.4625347222222247</v>
      </c>
      <c r="N21">
        <v>0.42013888888888645</v>
      </c>
      <c r="O21">
        <v>0.3778125</v>
      </c>
      <c r="P21">
        <v>0.335555555555558</v>
      </c>
      <c r="Q21">
        <v>0.2933680555555531</v>
      </c>
      <c r="R21">
        <v>0.25125</v>
      </c>
      <c r="S21">
        <v>0.2092013888888913</v>
      </c>
      <c r="T21">
        <v>0.16722222222221977</v>
      </c>
      <c r="U21">
        <v>0.1253125</v>
      </c>
      <c r="V21">
        <v>0.08347222222222465</v>
      </c>
      <c r="W21">
        <v>0.04170138888888646</v>
      </c>
    </row>
    <row r="22" spans="1:23" ht="12.75">
      <c r="A22">
        <v>21</v>
      </c>
      <c r="C22" s="13">
        <f t="shared" si="1"/>
        <v>12768.55348283589</v>
      </c>
      <c r="D22" s="19">
        <f t="shared" si="0"/>
        <v>53.20230617848288</v>
      </c>
      <c r="E22" s="13">
        <f t="shared" si="2"/>
        <v>12821.755789014373</v>
      </c>
      <c r="H22">
        <v>12</v>
      </c>
      <c r="I22">
        <v>7.566152309275731</v>
      </c>
      <c r="J22">
        <v>7.016808005543855</v>
      </c>
      <c r="K22">
        <v>6.47414547059663</v>
      </c>
      <c r="L22">
        <v>5.938102652122477</v>
      </c>
      <c r="M22">
        <v>5.4086179889126385</v>
      </c>
      <c r="N22">
        <v>4.885630407488349</v>
      </c>
      <c r="O22">
        <v>4.369079318747813</v>
      </c>
      <c r="P22">
        <v>3.8589046146333947</v>
      </c>
      <c r="Q22">
        <v>3.355046664818263</v>
      </c>
      <c r="R22">
        <v>2.857446313413167</v>
      </c>
      <c r="S22">
        <v>2.366044875692488</v>
      </c>
      <c r="T22">
        <v>1.8807841348399734</v>
      </c>
      <c r="U22">
        <v>1.4016063387137905</v>
      </c>
      <c r="V22">
        <v>0.9284541966310542</v>
      </c>
      <c r="W22">
        <v>0.46127087617147566</v>
      </c>
    </row>
    <row r="23" spans="1:23" ht="12.75">
      <c r="A23">
        <v>22</v>
      </c>
      <c r="C23" s="13">
        <f t="shared" si="1"/>
        <v>12080.399833347707</v>
      </c>
      <c r="D23" s="19">
        <f t="shared" si="0"/>
        <v>50.33499930561545</v>
      </c>
      <c r="E23" s="13">
        <f t="shared" si="2"/>
        <v>12130.734832653323</v>
      </c>
      <c r="H23">
        <v>24</v>
      </c>
      <c r="I23">
        <v>17.504125526591547</v>
      </c>
      <c r="J23">
        <v>16.123013723339756</v>
      </c>
      <c r="K23">
        <v>14.775239033132628</v>
      </c>
      <c r="L23">
        <v>13.46013359601071</v>
      </c>
      <c r="M23">
        <v>12.177041740742744</v>
      </c>
      <c r="N23">
        <v>10.925319777377714</v>
      </c>
      <c r="O23">
        <v>9.704335793114765</v>
      </c>
      <c r="P23">
        <v>8.5134694514393</v>
      </c>
      <c r="Q23">
        <v>7.352111794478146</v>
      </c>
      <c r="R23">
        <v>6.219665048523551</v>
      </c>
      <c r="S23">
        <v>5.115542432679081</v>
      </c>
      <c r="T23">
        <v>4.039167970579874</v>
      </c>
      <c r="U23">
        <v>2.9899763051413197</v>
      </c>
      <c r="V23">
        <v>1.967412516289323</v>
      </c>
      <c r="W23">
        <v>0.9709319416280926</v>
      </c>
    </row>
    <row r="24" spans="1:23" ht="12.75">
      <c r="A24">
        <v>23</v>
      </c>
      <c r="C24" s="13">
        <f t="shared" si="1"/>
        <v>11389.378876986657</v>
      </c>
      <c r="D24" s="19">
        <f t="shared" si="0"/>
        <v>47.45574532077774</v>
      </c>
      <c r="E24" s="13">
        <f t="shared" si="2"/>
        <v>11436.834622307435</v>
      </c>
      <c r="H24">
        <v>36</v>
      </c>
      <c r="I24">
        <v>29.50702265908908</v>
      </c>
      <c r="J24">
        <v>26.990306374346</v>
      </c>
      <c r="K24">
        <v>24.56297609726172</v>
      </c>
      <c r="L24">
        <v>22.222302962631225</v>
      </c>
      <c r="M24">
        <v>19.965635656136346</v>
      </c>
      <c r="N24">
        <v>17.790398317776422</v>
      </c>
      <c r="O24">
        <v>15.694088499650421</v>
      </c>
      <c r="P24">
        <v>13.674275176735536</v>
      </c>
      <c r="Q24">
        <v>11.728596809339095</v>
      </c>
      <c r="R24">
        <v>9.854759455932676</v>
      </c>
      <c r="S24">
        <v>8.050534935108244</v>
      </c>
      <c r="T24">
        <v>6.313759035426293</v>
      </c>
      <c r="U24">
        <v>4.6423297719570185</v>
      </c>
      <c r="V24">
        <v>3.0342056883418276</v>
      </c>
      <c r="W24">
        <v>1.4874042032336283</v>
      </c>
    </row>
    <row r="25" spans="1:23" ht="12.75">
      <c r="A25">
        <v>24</v>
      </c>
      <c r="C25" s="13">
        <f t="shared" si="1"/>
        <v>10695.478666640769</v>
      </c>
      <c r="D25" s="19">
        <f t="shared" si="0"/>
        <v>44.56449444433654</v>
      </c>
      <c r="E25" s="13">
        <f t="shared" si="2"/>
        <v>10740.043161085105</v>
      </c>
      <c r="H25">
        <v>39</v>
      </c>
      <c r="I25">
        <v>32.87238375066913</v>
      </c>
      <c r="J25">
        <v>30.015661917476482</v>
      </c>
      <c r="K25">
        <v>27.26830060978434</v>
      </c>
      <c r="L25">
        <v>24.626678135390527</v>
      </c>
      <c r="M25">
        <v>22.087284843426282</v>
      </c>
      <c r="N25">
        <v>19.64671981709688</v>
      </c>
      <c r="O25">
        <v>17.301687660313412</v>
      </c>
      <c r="P25">
        <v>15.048995375642491</v>
      </c>
      <c r="Q25">
        <v>12.885549331071186</v>
      </c>
      <c r="R25">
        <v>10.808352313148626</v>
      </c>
      <c r="S25">
        <v>8.814500664131128</v>
      </c>
      <c r="T25">
        <v>6.901181500822082</v>
      </c>
      <c r="U25">
        <v>5.065670012856068</v>
      </c>
      <c r="V25">
        <v>3.3053268382400955</v>
      </c>
      <c r="W25">
        <v>1.617595514020221</v>
      </c>
    </row>
    <row r="26" spans="1:23" ht="12.75">
      <c r="A26">
        <v>25</v>
      </c>
      <c r="C26" s="13">
        <f t="shared" si="1"/>
        <v>9998.687205418439</v>
      </c>
      <c r="D26" s="19">
        <f t="shared" si="0"/>
        <v>41.661196689243496</v>
      </c>
      <c r="E26" s="13">
        <f t="shared" si="2"/>
        <v>10040.348402107682</v>
      </c>
      <c r="H26">
        <v>42</v>
      </c>
      <c r="I26">
        <v>36.39594319285954</v>
      </c>
      <c r="J26">
        <v>33.17417531629207</v>
      </c>
      <c r="K26">
        <v>30.08455709954928</v>
      </c>
      <c r="L26">
        <v>27.122371944363525</v>
      </c>
      <c r="M26">
        <v>24.283060994719268</v>
      </c>
      <c r="N26">
        <v>21.562218090097147</v>
      </c>
      <c r="O26">
        <v>18.955584874396614</v>
      </c>
      <c r="P26">
        <v>16.45904605589071</v>
      </c>
      <c r="Q26">
        <v>14.068624813701641</v>
      </c>
      <c r="R26">
        <v>11.780478346416402</v>
      </c>
      <c r="S26">
        <v>9.59089355858826</v>
      </c>
      <c r="T26">
        <v>7.496282880993302</v>
      </c>
      <c r="U26">
        <v>5.493180220631944</v>
      </c>
      <c r="V26">
        <v>3.5782370365797496</v>
      </c>
      <c r="W26">
        <v>1.7482185379075552</v>
      </c>
    </row>
    <row r="27" spans="1:23" ht="12.75">
      <c r="A27">
        <v>26</v>
      </c>
      <c r="C27" s="13">
        <f t="shared" si="1"/>
        <v>9298.992446441016</v>
      </c>
      <c r="D27" s="19">
        <f t="shared" si="0"/>
        <v>38.7458018601709</v>
      </c>
      <c r="E27" s="13">
        <f t="shared" si="2"/>
        <v>9337.738248301186</v>
      </c>
      <c r="H27">
        <v>54</v>
      </c>
      <c r="I27">
        <v>52.208360729943074</v>
      </c>
      <c r="J27">
        <v>47.24663717119581</v>
      </c>
      <c r="K27">
        <v>42.54141809167395</v>
      </c>
      <c r="L27">
        <v>38.08094067988052</v>
      </c>
      <c r="M27">
        <v>33.853952423846515</v>
      </c>
      <c r="N27">
        <v>29.84968977181873</v>
      </c>
      <c r="O27">
        <v>26.057857659484355</v>
      </c>
      <c r="P27">
        <v>22.468609869446745</v>
      </c>
      <c r="Q27">
        <v>19.07253018998888</v>
      </c>
      <c r="R27">
        <v>15.86061434143972</v>
      </c>
      <c r="S27">
        <v>12.824252639679756</v>
      </c>
      <c r="T27">
        <v>9.955213367503756</v>
      </c>
      <c r="U27">
        <v>7.2456268256950285</v>
      </c>
      <c r="V27">
        <v>4.687970036753834</v>
      </c>
      <c r="W27">
        <v>2.275052075278127</v>
      </c>
    </row>
    <row r="28" spans="1:23" ht="12.75">
      <c r="A28">
        <v>27</v>
      </c>
      <c r="C28" s="13">
        <f t="shared" si="1"/>
        <v>8596.38229263452</v>
      </c>
      <c r="D28" s="19">
        <f t="shared" si="0"/>
        <v>35.81825955264384</v>
      </c>
      <c r="E28" s="13">
        <f t="shared" si="2"/>
        <v>8632.200552187163</v>
      </c>
      <c r="H28">
        <v>60</v>
      </c>
      <c r="I28">
        <v>61.24865285670621</v>
      </c>
      <c r="J28">
        <v>55.226421128065525</v>
      </c>
      <c r="K28">
        <v>49.546810293229626</v>
      </c>
      <c r="L28">
        <v>44.19239226478689</v>
      </c>
      <c r="M28">
        <v>39.146580684873896</v>
      </c>
      <c r="N28">
        <v>34.393591630843254</v>
      </c>
      <c r="O28">
        <v>29.918406106683783</v>
      </c>
      <c r="P28">
        <v>25.706734240922245</v>
      </c>
      <c r="Q28">
        <v>21.74498111518833</v>
      </c>
      <c r="R28">
        <v>18.020214150910608</v>
      </c>
      <c r="S28">
        <v>14.520131984773519</v>
      </c>
      <c r="T28">
        <v>11.2330347665834</v>
      </c>
      <c r="U28">
        <v>8.1477958160858</v>
      </c>
      <c r="V28">
        <v>5.253834578044354</v>
      </c>
      <c r="W28">
        <v>2.541090817541318</v>
      </c>
    </row>
    <row r="29" spans="1:5" ht="12.75">
      <c r="A29">
        <v>28</v>
      </c>
      <c r="C29" s="13">
        <f t="shared" si="1"/>
        <v>7890.844596520496</v>
      </c>
      <c r="D29" s="19">
        <f t="shared" si="0"/>
        <v>32.878519152168735</v>
      </c>
      <c r="E29" s="13">
        <f t="shared" si="2"/>
        <v>7923.723115672665</v>
      </c>
    </row>
    <row r="30" spans="1:5" ht="12.75">
      <c r="A30">
        <v>29</v>
      </c>
      <c r="C30" s="13">
        <f t="shared" si="1"/>
        <v>7182.367160005998</v>
      </c>
      <c r="D30" s="19">
        <f t="shared" si="0"/>
        <v>29.926529833358327</v>
      </c>
      <c r="E30" s="13">
        <f t="shared" si="2"/>
        <v>7212.293689839356</v>
      </c>
    </row>
    <row r="31" spans="1:5" ht="12.75">
      <c r="A31">
        <v>30</v>
      </c>
      <c r="C31" s="13">
        <f t="shared" si="1"/>
        <v>6470.9377341726895</v>
      </c>
      <c r="D31" s="19">
        <f t="shared" si="0"/>
        <v>26.962240559052873</v>
      </c>
      <c r="E31" s="13">
        <f t="shared" si="2"/>
        <v>6497.899974731742</v>
      </c>
    </row>
    <row r="32" spans="1:14" ht="12.75">
      <c r="A32">
        <v>31</v>
      </c>
      <c r="C32" s="13">
        <f t="shared" si="1"/>
        <v>5756.544019065075</v>
      </c>
      <c r="D32" s="19">
        <f t="shared" si="0"/>
        <v>23.985600079437816</v>
      </c>
      <c r="E32" s="13">
        <f t="shared" si="2"/>
        <v>5780.529619144513</v>
      </c>
      <c r="H32" s="45" t="s">
        <v>75</v>
      </c>
      <c r="I32" s="45" t="s">
        <v>76</v>
      </c>
      <c r="J32" s="45" t="s">
        <v>77</v>
      </c>
      <c r="L32" s="45" t="s">
        <v>75</v>
      </c>
      <c r="M32" s="45" t="s">
        <v>76</v>
      </c>
      <c r="N32" s="45" t="s">
        <v>77</v>
      </c>
    </row>
    <row r="33" spans="1:14" ht="12.75">
      <c r="A33">
        <v>32</v>
      </c>
      <c r="C33" s="13">
        <f t="shared" si="1"/>
        <v>5039.173663477846</v>
      </c>
      <c r="D33" s="19">
        <f t="shared" si="0"/>
        <v>20.996556931157695</v>
      </c>
      <c r="E33" s="13">
        <f t="shared" si="2"/>
        <v>5060.170220409004</v>
      </c>
      <c r="G33">
        <v>1</v>
      </c>
      <c r="H33" s="79">
        <v>2E-05</v>
      </c>
      <c r="I33">
        <v>0.0416</v>
      </c>
      <c r="J33" s="79">
        <v>0.0416</v>
      </c>
      <c r="K33">
        <v>2</v>
      </c>
      <c r="L33" s="79">
        <v>3E-05</v>
      </c>
      <c r="M33">
        <v>0.0417</v>
      </c>
      <c r="N33" s="78">
        <v>3E-16</v>
      </c>
    </row>
    <row r="34" spans="1:14" ht="12.75">
      <c r="A34">
        <v>33</v>
      </c>
      <c r="C34" s="13">
        <f t="shared" si="1"/>
        <v>4318.814264742337</v>
      </c>
      <c r="D34" s="19">
        <f aca="true" t="shared" si="20" ref="D34:D61">C34*$G$3/12</f>
        <v>17.995059436426406</v>
      </c>
      <c r="E34" s="13">
        <f t="shared" si="2"/>
        <v>4336.809324178764</v>
      </c>
      <c r="G34">
        <v>2</v>
      </c>
      <c r="H34" s="79">
        <v>0.0001</v>
      </c>
      <c r="I34">
        <v>0.0831</v>
      </c>
      <c r="J34" s="79">
        <v>0.0827</v>
      </c>
      <c r="K34">
        <v>12</v>
      </c>
      <c r="L34" s="79">
        <v>0.0032</v>
      </c>
      <c r="M34">
        <v>0.4568</v>
      </c>
      <c r="N34" s="79">
        <v>0.0024</v>
      </c>
    </row>
    <row r="35" spans="1:14" ht="12.75">
      <c r="A35">
        <v>34</v>
      </c>
      <c r="C35" s="13">
        <f t="shared" si="1"/>
        <v>3595.4533685120973</v>
      </c>
      <c r="D35" s="19">
        <f t="shared" si="20"/>
        <v>14.98105570213374</v>
      </c>
      <c r="E35" s="13">
        <f t="shared" si="2"/>
        <v>3610.434424214231</v>
      </c>
      <c r="G35">
        <v>3</v>
      </c>
      <c r="H35" s="79">
        <v>0.0002</v>
      </c>
      <c r="I35">
        <v>0.1242</v>
      </c>
      <c r="J35">
        <v>0.1228</v>
      </c>
      <c r="K35">
        <v>24</v>
      </c>
      <c r="L35" s="79">
        <v>0.0148</v>
      </c>
      <c r="M35">
        <v>0.943</v>
      </c>
      <c r="N35" s="79">
        <v>0.024</v>
      </c>
    </row>
    <row r="36" spans="1:14" ht="12.75">
      <c r="A36">
        <v>35</v>
      </c>
      <c r="C36" s="13">
        <f t="shared" si="1"/>
        <v>2869.0784685475646</v>
      </c>
      <c r="D36" s="19">
        <f t="shared" si="20"/>
        <v>11.954493618948186</v>
      </c>
      <c r="E36" s="13">
        <f t="shared" si="2"/>
        <v>2881.032962166513</v>
      </c>
      <c r="G36">
        <v>4</v>
      </c>
      <c r="H36" s="79">
        <v>0.0004</v>
      </c>
      <c r="I36">
        <v>0.1649</v>
      </c>
      <c r="J36">
        <v>0.1614</v>
      </c>
      <c r="K36">
        <v>36</v>
      </c>
      <c r="L36" s="79">
        <v>0.0372</v>
      </c>
      <c r="M36">
        <v>1.4002</v>
      </c>
      <c r="N36" s="79">
        <v>0.0915</v>
      </c>
    </row>
    <row r="37" spans="1:14" ht="12.75">
      <c r="A37">
        <v>36</v>
      </c>
      <c r="C37" s="13">
        <f t="shared" si="1"/>
        <v>2139.6770064998464</v>
      </c>
      <c r="D37" s="19">
        <f t="shared" si="20"/>
        <v>8.915320860416026</v>
      </c>
      <c r="E37" s="13">
        <f t="shared" si="2"/>
        <v>2148.5923273602625</v>
      </c>
      <c r="G37">
        <v>5</v>
      </c>
      <c r="H37" s="79">
        <v>0.0007</v>
      </c>
      <c r="I37">
        <v>0.2051</v>
      </c>
      <c r="J37">
        <v>0.198</v>
      </c>
      <c r="K37">
        <v>39</v>
      </c>
      <c r="L37" s="79">
        <v>0.0448</v>
      </c>
      <c r="M37">
        <v>1.5076</v>
      </c>
      <c r="N37" s="79">
        <v>0.1194</v>
      </c>
    </row>
    <row r="38" spans="1:14" ht="12.75">
      <c r="A38">
        <v>37</v>
      </c>
      <c r="C38" s="13">
        <f t="shared" si="1"/>
        <v>1407.236371693596</v>
      </c>
      <c r="D38" s="19">
        <f t="shared" si="20"/>
        <v>5.8634848820566505</v>
      </c>
      <c r="E38" s="13">
        <f t="shared" si="2"/>
        <v>1413.0998565756527</v>
      </c>
      <c r="G38">
        <v>6</v>
      </c>
      <c r="H38" s="79">
        <v>0.001</v>
      </c>
      <c r="I38">
        <v>0.2446</v>
      </c>
      <c r="J38">
        <v>0.2318</v>
      </c>
      <c r="K38">
        <v>42</v>
      </c>
      <c r="L38" s="79">
        <v>0.0533</v>
      </c>
      <c r="M38">
        <v>1.6116</v>
      </c>
      <c r="N38" s="79">
        <v>0.1528</v>
      </c>
    </row>
    <row r="39" spans="1:14" ht="12.75">
      <c r="A39">
        <v>38</v>
      </c>
      <c r="C39" s="13">
        <f t="shared" si="1"/>
        <v>671.7439009089861</v>
      </c>
      <c r="D39" s="19">
        <f t="shared" si="20"/>
        <v>2.7989329204541087</v>
      </c>
      <c r="E39" s="13">
        <f t="shared" si="2"/>
        <v>674.5428338294403</v>
      </c>
      <c r="G39">
        <v>7</v>
      </c>
      <c r="H39" s="79">
        <v>0.0014</v>
      </c>
      <c r="I39">
        <v>0.2832</v>
      </c>
      <c r="J39">
        <v>0.2622</v>
      </c>
      <c r="K39">
        <v>54</v>
      </c>
      <c r="L39" s="79">
        <v>0.0974</v>
      </c>
      <c r="M39">
        <v>1.9845</v>
      </c>
      <c r="N39" s="79">
        <v>0.3559</v>
      </c>
    </row>
    <row r="40" spans="1:14" ht="12.75">
      <c r="A40">
        <v>39</v>
      </c>
      <c r="C40" s="13">
        <f t="shared" si="1"/>
        <v>-66.81312183722628</v>
      </c>
      <c r="D40" s="19">
        <f t="shared" si="20"/>
        <v>-0.2783880076551095</v>
      </c>
      <c r="E40" s="13">
        <f t="shared" si="2"/>
        <v>-67.09150984488139</v>
      </c>
      <c r="G40">
        <v>8</v>
      </c>
      <c r="H40" s="79">
        <v>0.0019</v>
      </c>
      <c r="I40">
        <v>0.3208</v>
      </c>
      <c r="J40">
        <v>0.2884</v>
      </c>
      <c r="K40">
        <v>60</v>
      </c>
      <c r="L40" s="79">
        <v>0.1262</v>
      </c>
      <c r="M40">
        <v>2.1388</v>
      </c>
      <c r="N40" s="79">
        <v>0.5098</v>
      </c>
    </row>
    <row r="41" spans="1:10" ht="12.75">
      <c r="A41">
        <v>40</v>
      </c>
      <c r="C41" s="13">
        <f aca="true" t="shared" si="21" ref="C41:C61">E40-$C$1</f>
        <v>-808.447465511548</v>
      </c>
      <c r="D41" s="19">
        <f t="shared" si="20"/>
        <v>-3.3685311062981165</v>
      </c>
      <c r="E41" s="13">
        <f aca="true" t="shared" si="22" ref="E41:E61">C41+D41</f>
        <v>-811.815996617846</v>
      </c>
      <c r="G41">
        <v>9</v>
      </c>
      <c r="H41" s="79">
        <v>0.0024</v>
      </c>
      <c r="I41">
        <v>0.3572</v>
      </c>
      <c r="J41">
        <v>0.3097</v>
      </c>
    </row>
    <row r="42" spans="1:10" ht="12.75">
      <c r="A42">
        <v>41</v>
      </c>
      <c r="C42" s="13">
        <f t="shared" si="21"/>
        <v>-1553.1719522845126</v>
      </c>
      <c r="D42" s="19">
        <f t="shared" si="20"/>
        <v>-6.47154980118547</v>
      </c>
      <c r="E42" s="13">
        <f t="shared" si="22"/>
        <v>-1559.6435020856982</v>
      </c>
      <c r="G42">
        <v>10</v>
      </c>
      <c r="H42" s="79">
        <v>0.0031</v>
      </c>
      <c r="I42">
        <v>0.3922</v>
      </c>
      <c r="J42" s="76">
        <v>0.3251</v>
      </c>
    </row>
    <row r="43" spans="1:10" ht="12.75">
      <c r="A43">
        <v>42</v>
      </c>
      <c r="C43" s="13">
        <f t="shared" si="21"/>
        <v>-2300.999457752365</v>
      </c>
      <c r="D43" s="19">
        <f t="shared" si="20"/>
        <v>-9.587497740634854</v>
      </c>
      <c r="E43" s="13">
        <f t="shared" si="22"/>
        <v>-2310.5869554929996</v>
      </c>
      <c r="G43">
        <v>11</v>
      </c>
      <c r="H43" s="79">
        <v>0.0039</v>
      </c>
      <c r="I43">
        <v>0.4256</v>
      </c>
      <c r="J43">
        <v>0.3338</v>
      </c>
    </row>
    <row r="44" spans="1:10" ht="12.75">
      <c r="A44">
        <v>43</v>
      </c>
      <c r="C44" s="13">
        <f t="shared" si="21"/>
        <v>-3051.942911159666</v>
      </c>
      <c r="D44" s="19">
        <f t="shared" si="20"/>
        <v>-12.71642879649861</v>
      </c>
      <c r="E44" s="13">
        <f t="shared" si="22"/>
        <v>-3064.659339956165</v>
      </c>
      <c r="G44">
        <v>12</v>
      </c>
      <c r="H44" s="79">
        <v>0.0047</v>
      </c>
      <c r="I44">
        <v>0.4571</v>
      </c>
      <c r="J44">
        <v>0.3347</v>
      </c>
    </row>
    <row r="45" spans="1:10" ht="12.75">
      <c r="A45">
        <v>44</v>
      </c>
      <c r="C45" s="13">
        <f t="shared" si="21"/>
        <v>-3806.015295622831</v>
      </c>
      <c r="D45" s="19">
        <f t="shared" si="20"/>
        <v>-15.858397065095131</v>
      </c>
      <c r="E45" s="13">
        <f t="shared" si="22"/>
        <v>-3821.8736926879265</v>
      </c>
      <c r="G45">
        <v>13</v>
      </c>
      <c r="H45" s="79">
        <v>0.0057</v>
      </c>
      <c r="I45">
        <v>0.4866</v>
      </c>
      <c r="J45">
        <v>0.3268</v>
      </c>
    </row>
    <row r="46" spans="1:12" ht="12.75">
      <c r="A46">
        <v>45</v>
      </c>
      <c r="C46" s="13">
        <f t="shared" si="21"/>
        <v>-4563.229648354593</v>
      </c>
      <c r="D46" s="19">
        <f t="shared" si="20"/>
        <v>-19.01345686814414</v>
      </c>
      <c r="E46" s="13">
        <f t="shared" si="22"/>
        <v>-4582.2431052227375</v>
      </c>
      <c r="G46">
        <v>14</v>
      </c>
      <c r="H46" s="79">
        <v>0.0068</v>
      </c>
      <c r="I46">
        <v>0.5138</v>
      </c>
      <c r="J46">
        <v>0.3088</v>
      </c>
      <c r="K46" s="77"/>
      <c r="L46" s="15"/>
    </row>
    <row r="47" spans="1:11" ht="12.75">
      <c r="A47">
        <v>46</v>
      </c>
      <c r="C47" s="13">
        <f t="shared" si="21"/>
        <v>-5323.599060889404</v>
      </c>
      <c r="D47" s="19">
        <f t="shared" si="20"/>
        <v>-22.18166275370585</v>
      </c>
      <c r="E47" s="13">
        <f t="shared" si="22"/>
        <v>-5345.78072364311</v>
      </c>
      <c r="G47">
        <v>15</v>
      </c>
      <c r="H47" s="79">
        <v>0.0081</v>
      </c>
      <c r="I47" s="76">
        <v>0.5384</v>
      </c>
      <c r="J47">
        <v>0.2796</v>
      </c>
      <c r="K47" s="77"/>
    </row>
    <row r="48" spans="1:11" ht="12.75">
      <c r="A48">
        <v>47</v>
      </c>
      <c r="C48" s="13">
        <f t="shared" si="21"/>
        <v>-6087.136679309777</v>
      </c>
      <c r="D48" s="19">
        <f t="shared" si="20"/>
        <v>-25.363069497124073</v>
      </c>
      <c r="E48" s="13">
        <f t="shared" si="22"/>
        <v>-6112.499748806901</v>
      </c>
      <c r="K48" s="77"/>
    </row>
    <row r="49" spans="1:5" ht="12.75">
      <c r="A49">
        <v>48</v>
      </c>
      <c r="C49" s="13">
        <f t="shared" si="21"/>
        <v>-6853.855704473568</v>
      </c>
      <c r="D49" s="19">
        <f t="shared" si="20"/>
        <v>-28.5577321019732</v>
      </c>
      <c r="E49" s="13">
        <f t="shared" si="22"/>
        <v>-6882.413436575541</v>
      </c>
    </row>
    <row r="50" spans="1:5" ht="12.75">
      <c r="A50">
        <v>49</v>
      </c>
      <c r="C50" s="13">
        <f t="shared" si="21"/>
        <v>-7623.769392242208</v>
      </c>
      <c r="D50" s="19">
        <f t="shared" si="20"/>
        <v>-31.7657058010092</v>
      </c>
      <c r="E50" s="13">
        <f t="shared" si="22"/>
        <v>-7655.535098043217</v>
      </c>
    </row>
    <row r="51" spans="1:5" ht="12.75">
      <c r="A51">
        <v>50</v>
      </c>
      <c r="C51" s="13">
        <f t="shared" si="21"/>
        <v>-8396.891053709884</v>
      </c>
      <c r="D51" s="19">
        <f t="shared" si="20"/>
        <v>-34.987046057124516</v>
      </c>
      <c r="E51" s="13">
        <f t="shared" si="22"/>
        <v>-8431.878099767007</v>
      </c>
    </row>
    <row r="52" spans="1:5" ht="12.75">
      <c r="A52">
        <v>51</v>
      </c>
      <c r="C52" s="13">
        <f t="shared" si="21"/>
        <v>-9173.234055433673</v>
      </c>
      <c r="D52" s="19">
        <f t="shared" si="20"/>
        <v>-38.221808564306976</v>
      </c>
      <c r="E52" s="13">
        <f t="shared" si="22"/>
        <v>-9211.45586399798</v>
      </c>
    </row>
    <row r="53" spans="1:5" ht="12.75">
      <c r="A53">
        <v>52</v>
      </c>
      <c r="C53" s="13">
        <f t="shared" si="21"/>
        <v>-9952.811819664646</v>
      </c>
      <c r="D53" s="19">
        <f t="shared" si="20"/>
        <v>-41.4700492486027</v>
      </c>
      <c r="E53" s="13">
        <f t="shared" si="22"/>
        <v>-9994.28186891325</v>
      </c>
    </row>
    <row r="54" spans="1:5" ht="12.75">
      <c r="A54">
        <v>53</v>
      </c>
      <c r="C54" s="13">
        <f t="shared" si="21"/>
        <v>-10735.637824579915</v>
      </c>
      <c r="D54" s="19">
        <f t="shared" si="20"/>
        <v>-44.73182426908298</v>
      </c>
      <c r="E54" s="13">
        <f t="shared" si="22"/>
        <v>-10780.369648848999</v>
      </c>
    </row>
    <row r="55" spans="1:5" ht="12.75">
      <c r="A55">
        <v>54</v>
      </c>
      <c r="C55" s="13">
        <f t="shared" si="21"/>
        <v>-11521.725604515665</v>
      </c>
      <c r="D55" s="19">
        <f t="shared" si="20"/>
        <v>-48.00719001881527</v>
      </c>
      <c r="E55" s="13">
        <f t="shared" si="22"/>
        <v>-11569.73279453448</v>
      </c>
    </row>
    <row r="56" spans="1:5" ht="12.75">
      <c r="A56">
        <v>55</v>
      </c>
      <c r="C56" s="13">
        <f t="shared" si="21"/>
        <v>-12311.088750201146</v>
      </c>
      <c r="D56" s="19">
        <f t="shared" si="20"/>
        <v>-51.29620312583811</v>
      </c>
      <c r="E56" s="13">
        <f t="shared" si="22"/>
        <v>-12362.384953326984</v>
      </c>
    </row>
    <row r="57" spans="1:5" ht="12.75">
      <c r="A57">
        <v>56</v>
      </c>
      <c r="C57" s="13">
        <f t="shared" si="21"/>
        <v>-13103.74090899365</v>
      </c>
      <c r="D57" s="19">
        <f t="shared" si="20"/>
        <v>-54.598920454140206</v>
      </c>
      <c r="E57" s="13">
        <f t="shared" si="22"/>
        <v>-13158.33982944779</v>
      </c>
    </row>
    <row r="58" spans="1:5" ht="12.75">
      <c r="A58">
        <v>57</v>
      </c>
      <c r="C58" s="13">
        <f t="shared" si="21"/>
        <v>-13899.695785114456</v>
      </c>
      <c r="D58" s="19">
        <f t="shared" si="20"/>
        <v>-57.91539910464357</v>
      </c>
      <c r="E58" s="13">
        <f t="shared" si="22"/>
        <v>-13957.6111842191</v>
      </c>
    </row>
    <row r="59" spans="1:5" ht="12.75">
      <c r="A59">
        <v>58</v>
      </c>
      <c r="C59" s="13">
        <f t="shared" si="21"/>
        <v>-14698.967139885766</v>
      </c>
      <c r="D59" s="19">
        <f t="shared" si="20"/>
        <v>-61.2456964161907</v>
      </c>
      <c r="E59" s="13">
        <f t="shared" si="22"/>
        <v>-14760.212836301956</v>
      </c>
    </row>
    <row r="60" spans="1:5" ht="12.75">
      <c r="A60">
        <v>59</v>
      </c>
      <c r="C60" s="13">
        <f t="shared" si="21"/>
        <v>-15501.568791968622</v>
      </c>
      <c r="D60" s="19">
        <f t="shared" si="20"/>
        <v>-64.58986996653593</v>
      </c>
      <c r="E60" s="13">
        <f t="shared" si="22"/>
        <v>-15566.158661935158</v>
      </c>
    </row>
    <row r="61" spans="1:5" ht="12.75">
      <c r="A61">
        <v>60</v>
      </c>
      <c r="C61" s="13">
        <f t="shared" si="21"/>
        <v>-16307.514617601824</v>
      </c>
      <c r="D61" s="19">
        <f t="shared" si="20"/>
        <v>-67.94797757334094</v>
      </c>
      <c r="E61" s="13">
        <f t="shared" si="22"/>
        <v>-16375.462595175166</v>
      </c>
    </row>
    <row r="66" ht="12.75">
      <c r="K66" s="77"/>
    </row>
    <row r="67" spans="3:11" ht="12.75">
      <c r="C67" s="45" t="s">
        <v>78</v>
      </c>
      <c r="D67" s="45" t="s">
        <v>79</v>
      </c>
      <c r="E67" s="45" t="s">
        <v>80</v>
      </c>
      <c r="K67" s="77"/>
    </row>
    <row r="68" spans="2:11" ht="12.75">
      <c r="B68">
        <v>5</v>
      </c>
      <c r="C68" s="76">
        <f>0.00004*B68^2-(0.0001*B$68)+0.0002</f>
        <v>0.0007</v>
      </c>
      <c r="D68" s="76">
        <f>-0.0006*B68^2+(0.0456*B68)-0.0058</f>
        <v>0.20720000000000002</v>
      </c>
      <c r="E68" s="76">
        <f>-0.0026*B68^2+(0.0591*B68)-0.0257</f>
        <v>0.20479999999999998</v>
      </c>
      <c r="K68" s="77"/>
    </row>
    <row r="69" spans="2:11" ht="12.75">
      <c r="B69">
        <v>10</v>
      </c>
      <c r="C69" s="76">
        <f>0.00004*B69^2-(0.0001*B$68)+0.0002</f>
        <v>0.0037</v>
      </c>
      <c r="D69" s="76">
        <f>-0.0006*B69^2+(0.0456*B69)-0.0058</f>
        <v>0.3902</v>
      </c>
      <c r="E69" s="76">
        <f>-0.0026*B69^2+(0.0591*B69)-0.0257</f>
        <v>0.30529999999999996</v>
      </c>
      <c r="K69" s="77"/>
    </row>
    <row r="70" spans="2:11" ht="12.75">
      <c r="B70">
        <v>15</v>
      </c>
      <c r="C70" s="76">
        <f>0.00004*B70^2-(0.0001*B$68)+0.0002</f>
        <v>0.008700000000000001</v>
      </c>
      <c r="D70" s="76">
        <f>-0.0006*B70^2+(0.0456*B70)-0.0058</f>
        <v>0.5432</v>
      </c>
      <c r="E70" s="76">
        <f>-0.0026*B70^2+(0.0591*B70)-0.0257</f>
        <v>0.2758</v>
      </c>
      <c r="K70" s="77"/>
    </row>
    <row r="72" spans="3:5" ht="12.75">
      <c r="C72" s="45"/>
      <c r="D72" s="45"/>
      <c r="E72" s="45"/>
    </row>
    <row r="73" ht="12.75">
      <c r="C73" s="77"/>
    </row>
    <row r="74" spans="3:5" ht="12.75">
      <c r="C74" s="77"/>
      <c r="E74" s="76"/>
    </row>
    <row r="75" spans="3:8" ht="12.75">
      <c r="C75" s="77"/>
      <c r="D75" s="76"/>
      <c r="F75" s="77"/>
      <c r="H75" s="77"/>
    </row>
    <row r="76" ht="12.75">
      <c r="H76" s="77"/>
    </row>
    <row r="77" ht="12.75">
      <c r="H77" s="77"/>
    </row>
    <row r="78" spans="8:9" ht="12.75">
      <c r="H78" s="77"/>
      <c r="I78" s="76"/>
    </row>
    <row r="80" ht="12.75">
      <c r="H80" s="78"/>
    </row>
    <row r="118" spans="11:13" ht="12.75">
      <c r="K118" s="45" t="s">
        <v>75</v>
      </c>
      <c r="L118" s="45" t="s">
        <v>76</v>
      </c>
      <c r="M118" s="45" t="s">
        <v>77</v>
      </c>
    </row>
    <row r="119" spans="10:13" ht="12.75">
      <c r="J119">
        <v>1</v>
      </c>
      <c r="K119" s="79">
        <v>2E-05</v>
      </c>
      <c r="L119">
        <v>0.0416</v>
      </c>
      <c r="M119" s="79">
        <v>0.0416</v>
      </c>
    </row>
    <row r="120" spans="10:13" ht="12.75">
      <c r="J120">
        <v>2</v>
      </c>
      <c r="K120" s="79">
        <v>0.0001</v>
      </c>
      <c r="L120">
        <v>0.0831</v>
      </c>
      <c r="M120" s="79">
        <v>0.0827</v>
      </c>
    </row>
    <row r="121" spans="10:13" ht="12.75">
      <c r="J121">
        <v>3</v>
      </c>
      <c r="K121" s="79">
        <v>0.0002</v>
      </c>
      <c r="L121">
        <v>0.1242</v>
      </c>
      <c r="M121">
        <v>0.1228</v>
      </c>
    </row>
    <row r="122" spans="10:13" ht="12.75">
      <c r="J122">
        <v>4</v>
      </c>
      <c r="K122" s="79">
        <v>0.0004</v>
      </c>
      <c r="L122">
        <v>0.1649</v>
      </c>
      <c r="M122">
        <v>0.1614</v>
      </c>
    </row>
    <row r="123" spans="10:13" ht="12.75">
      <c r="J123">
        <v>5</v>
      </c>
      <c r="K123" s="79">
        <v>0.0007</v>
      </c>
      <c r="L123">
        <v>0.2051</v>
      </c>
      <c r="M123">
        <v>0.198</v>
      </c>
    </row>
    <row r="124" spans="10:13" ht="12.75">
      <c r="J124">
        <v>6</v>
      </c>
      <c r="K124" s="79">
        <v>0.001</v>
      </c>
      <c r="L124">
        <v>0.2446</v>
      </c>
      <c r="M124">
        <v>0.2318</v>
      </c>
    </row>
    <row r="125" spans="10:13" ht="12.75">
      <c r="J125">
        <v>7</v>
      </c>
      <c r="K125" s="79">
        <v>0.0014</v>
      </c>
      <c r="L125">
        <v>0.2832</v>
      </c>
      <c r="M125">
        <v>0.2622</v>
      </c>
    </row>
    <row r="126" spans="10:13" ht="12.75">
      <c r="J126">
        <v>8</v>
      </c>
      <c r="K126" s="79">
        <v>0.0019</v>
      </c>
      <c r="L126">
        <v>0.3208</v>
      </c>
      <c r="M126">
        <v>0.2884</v>
      </c>
    </row>
    <row r="127" spans="10:13" ht="12.75">
      <c r="J127">
        <v>9</v>
      </c>
      <c r="K127" s="79">
        <v>0.0024</v>
      </c>
      <c r="L127">
        <v>0.3572</v>
      </c>
      <c r="M127">
        <v>0.3097</v>
      </c>
    </row>
    <row r="128" spans="10:13" ht="12.75">
      <c r="J128">
        <v>10</v>
      </c>
      <c r="K128" s="79">
        <v>0.0031</v>
      </c>
      <c r="L128">
        <v>0.3922</v>
      </c>
      <c r="M128" s="76">
        <v>0.3251</v>
      </c>
    </row>
    <row r="129" spans="10:13" ht="12.75">
      <c r="J129">
        <v>11</v>
      </c>
      <c r="K129" s="79">
        <v>0.0039</v>
      </c>
      <c r="L129">
        <v>0.4256</v>
      </c>
      <c r="M129">
        <v>0.3338</v>
      </c>
    </row>
    <row r="130" spans="10:13" ht="12.75">
      <c r="J130">
        <v>12</v>
      </c>
      <c r="K130" s="79">
        <v>0.0047</v>
      </c>
      <c r="L130">
        <v>0.4571</v>
      </c>
      <c r="M130">
        <v>0.3347</v>
      </c>
    </row>
    <row r="131" spans="10:13" ht="12.75">
      <c r="J131">
        <v>13</v>
      </c>
      <c r="K131" s="79">
        <v>0.0057</v>
      </c>
      <c r="L131">
        <v>0.4866</v>
      </c>
      <c r="M131">
        <v>0.3268</v>
      </c>
    </row>
    <row r="132" spans="10:13" ht="12.75">
      <c r="J132">
        <v>14</v>
      </c>
      <c r="K132" s="79">
        <v>0.0068</v>
      </c>
      <c r="L132">
        <v>0.5138</v>
      </c>
      <c r="M132">
        <v>0.3088</v>
      </c>
    </row>
    <row r="133" spans="10:13" ht="12.75">
      <c r="J133">
        <v>15</v>
      </c>
      <c r="K133" s="79">
        <v>0.0081</v>
      </c>
      <c r="L133" s="76">
        <v>0.5384</v>
      </c>
      <c r="M133">
        <v>0.2796</v>
      </c>
    </row>
    <row r="135" spans="11:13" ht="12.75">
      <c r="K135" s="45" t="s">
        <v>75</v>
      </c>
      <c r="L135" s="45" t="s">
        <v>76</v>
      </c>
      <c r="M135" s="45" t="s">
        <v>77</v>
      </c>
    </row>
    <row r="136" spans="10:13" ht="12.75">
      <c r="J136">
        <v>2</v>
      </c>
      <c r="K136" s="79">
        <v>3E-05</v>
      </c>
      <c r="L136">
        <v>0.0417</v>
      </c>
      <c r="M136" s="78">
        <v>3E-16</v>
      </c>
    </row>
    <row r="137" spans="10:13" ht="12.75">
      <c r="J137">
        <v>12</v>
      </c>
      <c r="K137" s="79">
        <v>0.0032</v>
      </c>
      <c r="L137">
        <v>0.4568</v>
      </c>
      <c r="M137" s="79">
        <v>0.0024</v>
      </c>
    </row>
    <row r="138" spans="10:13" ht="12.75">
      <c r="J138">
        <v>24</v>
      </c>
      <c r="K138" s="79">
        <v>0.0148</v>
      </c>
      <c r="L138">
        <v>0.943</v>
      </c>
      <c r="M138" s="79">
        <v>0.024</v>
      </c>
    </row>
    <row r="139" spans="10:13" ht="12.75">
      <c r="J139">
        <v>36</v>
      </c>
      <c r="K139" s="79">
        <v>0.0372</v>
      </c>
      <c r="L139">
        <v>1.4002</v>
      </c>
      <c r="M139" s="79">
        <v>0.0915</v>
      </c>
    </row>
    <row r="140" spans="10:13" ht="12.75">
      <c r="J140">
        <v>39</v>
      </c>
      <c r="K140" s="79">
        <v>0.0448</v>
      </c>
      <c r="L140">
        <v>1.5076</v>
      </c>
      <c r="M140" s="79">
        <v>0.1194</v>
      </c>
    </row>
    <row r="141" spans="10:13" ht="12.75">
      <c r="J141">
        <v>42</v>
      </c>
      <c r="K141" s="79">
        <v>0.0533</v>
      </c>
      <c r="L141">
        <v>1.6116</v>
      </c>
      <c r="M141" s="79">
        <v>0.1528</v>
      </c>
    </row>
    <row r="142" spans="10:13" ht="12.75">
      <c r="J142">
        <v>54</v>
      </c>
      <c r="K142" s="79">
        <v>0.0974</v>
      </c>
      <c r="L142">
        <v>1.9845</v>
      </c>
      <c r="M142" s="79">
        <v>0.3559</v>
      </c>
    </row>
    <row r="143" spans="10:13" ht="12.75">
      <c r="J143">
        <v>60</v>
      </c>
      <c r="K143" s="79">
        <v>0.1262</v>
      </c>
      <c r="L143">
        <v>2.1388</v>
      </c>
      <c r="M143" s="79">
        <v>0.5098</v>
      </c>
    </row>
    <row r="146" spans="3:16" ht="12.75">
      <c r="C146" t="s">
        <v>94</v>
      </c>
      <c r="P146" s="15" t="s">
        <v>99</v>
      </c>
    </row>
    <row r="147" spans="4:19" ht="12.75">
      <c r="D147" s="45" t="s">
        <v>75</v>
      </c>
      <c r="E147" s="45" t="s">
        <v>76</v>
      </c>
      <c r="F147" s="45" t="s">
        <v>77</v>
      </c>
      <c r="Q147" s="45" t="s">
        <v>75</v>
      </c>
      <c r="R147" s="45" t="s">
        <v>76</v>
      </c>
      <c r="S147" s="45" t="s">
        <v>77</v>
      </c>
    </row>
    <row r="148" spans="2:19" ht="12.75">
      <c r="B148" t="s">
        <v>97</v>
      </c>
      <c r="C148">
        <v>5</v>
      </c>
      <c r="D148" s="76">
        <f>0.000001*(C148^3)+0.00002*(C148^2)+(0.00003*C148)-0.00005</f>
        <v>0.0007250000000000001</v>
      </c>
      <c r="E148" s="76">
        <f>-0.00003*($C148^3)+0.0001*($C148^2)+(0.041*$C148)+0.0007</f>
        <v>0.20445000000000002</v>
      </c>
      <c r="F148" s="76">
        <f>-0.0001*($C148^3)+0.0008*($C148^2)+(0.0385*$C148)+0.0033</f>
        <v>0.2033</v>
      </c>
      <c r="O148" t="s">
        <v>98</v>
      </c>
      <c r="P148">
        <v>36</v>
      </c>
      <c r="Q148" s="76">
        <f>0.0000003*(P148^3)+0.00002*(P148^2)+(0.00003*P148)-0.0001</f>
        <v>0.0408968</v>
      </c>
      <c r="R148" s="76">
        <f>-0.000002*($P148^3)+0.00004*($P148^2)+(0.0411*$P148)-0.0404</f>
        <v>1.397728</v>
      </c>
      <c r="S148" s="76">
        <f>0.000003*($P148^3)-0.00008*($P148^2)+(0.0009*$P148)-0.0023</f>
        <v>0.066388</v>
      </c>
    </row>
    <row r="150" spans="2:17" ht="12.75">
      <c r="B150" t="s">
        <v>98</v>
      </c>
      <c r="C150" s="82">
        <v>36</v>
      </c>
      <c r="D150">
        <f>D148*(C150^2)+E148*C150-F148</f>
        <v>8.0965</v>
      </c>
      <c r="O150" t="s">
        <v>97</v>
      </c>
      <c r="P150" s="82">
        <v>5</v>
      </c>
      <c r="Q150">
        <f>Q148*(P150^2)+R148*P150-S148</f>
        <v>7.944672000000001</v>
      </c>
    </row>
    <row r="152" spans="2:17" ht="12.75">
      <c r="B152">
        <v>26688.814403999997</v>
      </c>
      <c r="D152">
        <f>B152*(D150/100)</f>
        <v>2160.85985821986</v>
      </c>
      <c r="O152">
        <v>26688.814403999997</v>
      </c>
      <c r="Q152">
        <f>O152*(Q150/100)</f>
        <v>2120.3387650865548</v>
      </c>
    </row>
    <row r="153" spans="3:16" ht="12.75">
      <c r="C153" t="s">
        <v>95</v>
      </c>
      <c r="P153" t="s">
        <v>95</v>
      </c>
    </row>
    <row r="154" spans="3:16" ht="12.75">
      <c r="C154" t="s">
        <v>96</v>
      </c>
      <c r="P154" t="s">
        <v>96</v>
      </c>
    </row>
  </sheetData>
  <printOptions/>
  <pageMargins left="0.75" right="0.75" top="1" bottom="1" header="0.5" footer="0.5"/>
  <pageSetup fitToHeight="99" fitToWidth="1" horizontalDpi="600" verticalDpi="6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BDLHOME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Lease Calculator</dc:title>
  <dc:subject/>
  <dc:creator>Brian Langley</dc:creator>
  <cp:keywords/>
  <dc:description>Hope you find this useful
email:  brian@bdlhome.com
</dc:description>
  <cp:lastModifiedBy>langleyb</cp:lastModifiedBy>
  <cp:lastPrinted>2008-01-21T01:11:38Z</cp:lastPrinted>
  <dcterms:created xsi:type="dcterms:W3CDTF">2006-01-19T22:08:21Z</dcterms:created>
  <dcterms:modified xsi:type="dcterms:W3CDTF">2008-01-23T23:26:17Z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